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kaps\Desktop\Europolis\Järva vald\"/>
    </mc:Choice>
  </mc:AlternateContent>
  <xr:revisionPtr revIDLastSave="0" documentId="13_ncr:1_{1B420705-8F83-4BD1-A0A4-B4DBA91C4E6E}" xr6:coauthVersionLast="47" xr6:coauthVersionMax="47" xr10:uidLastSave="{00000000-0000-0000-0000-000000000000}"/>
  <bookViews>
    <workbookView xWindow="-110" yWindow="-110" windowWidth="19420" windowHeight="10300" tabRatio="588" xr2:uid="{00000000-000D-0000-FFFF-FFFF00000000}"/>
  </bookViews>
  <sheets>
    <sheet name="Investeeringute koond" sheetId="1" r:id="rId1"/>
    <sheet name="AS Paide Vesi - Tööde mahud" sheetId="2" r:id="rId2"/>
    <sheet name="AS Järva Haldus - Tööde mahud" sheetId="4" r:id="rId3"/>
  </sheets>
  <definedNames>
    <definedName name="_xlnm._FilterDatabase" localSheetId="0" hidden="1">'Investeeringute koond'!$A$3:$Q$3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6" i="2" l="1"/>
  <c r="E64" i="1" l="1"/>
  <c r="P64" i="1"/>
  <c r="D64" i="1"/>
  <c r="G28" i="1"/>
  <c r="G57" i="1"/>
  <c r="D32" i="1"/>
  <c r="C20" i="1"/>
  <c r="D20" i="1"/>
  <c r="G20" i="1" s="1"/>
  <c r="F29" i="4"/>
  <c r="F28" i="4"/>
  <c r="F27" i="4"/>
  <c r="F30" i="4" l="1"/>
  <c r="F31" i="4"/>
  <c r="F32" i="4" s="1"/>
  <c r="D42" i="1" l="1"/>
  <c r="D49" i="1"/>
  <c r="D35" i="1"/>
  <c r="D36" i="1"/>
  <c r="D37" i="1"/>
  <c r="D38" i="1"/>
  <c r="D39" i="1"/>
  <c r="D40" i="1"/>
  <c r="D41" i="1"/>
  <c r="D43" i="1"/>
  <c r="D44" i="1"/>
  <c r="D45" i="1"/>
  <c r="D46" i="1"/>
  <c r="D47" i="1"/>
  <c r="D48" i="1"/>
  <c r="D50" i="1"/>
  <c r="D51" i="1"/>
  <c r="D34" i="1"/>
  <c r="D56" i="1"/>
  <c r="D59" i="1"/>
  <c r="Q62" i="1"/>
  <c r="R62" i="1"/>
  <c r="S62" i="1"/>
  <c r="D63" i="1"/>
  <c r="F32" i="1" l="1"/>
  <c r="F61" i="1" s="1"/>
  <c r="J32" i="1"/>
  <c r="J61" i="1" s="1"/>
  <c r="L32" i="1"/>
  <c r="L61" i="1" s="1"/>
  <c r="M32" i="1"/>
  <c r="M61" i="1" s="1"/>
  <c r="N32" i="1"/>
  <c r="N61" i="1" s="1"/>
  <c r="O32" i="1"/>
  <c r="O61" i="1" s="1"/>
  <c r="P32" i="1"/>
  <c r="P61" i="1" s="1"/>
  <c r="E32" i="1"/>
  <c r="E61" i="1" s="1"/>
  <c r="L52" i="1"/>
  <c r="L62" i="1" s="1"/>
  <c r="M52" i="1"/>
  <c r="M62" i="1" s="1"/>
  <c r="N52" i="1"/>
  <c r="N62" i="1" s="1"/>
  <c r="O52" i="1"/>
  <c r="O62" i="1" s="1"/>
  <c r="P52" i="1"/>
  <c r="P62" i="1" s="1"/>
  <c r="C27" i="1"/>
  <c r="C26" i="1"/>
  <c r="C25" i="1"/>
  <c r="C24" i="1"/>
  <c r="C23" i="1"/>
  <c r="C22" i="1"/>
  <c r="C21" i="1"/>
  <c r="C19" i="1"/>
  <c r="C18" i="1"/>
  <c r="C17" i="1"/>
  <c r="C16" i="1"/>
  <c r="O64" i="1" l="1"/>
  <c r="M64" i="1"/>
  <c r="N64" i="1"/>
  <c r="L64" i="1"/>
  <c r="C69" i="1"/>
  <c r="P28" i="1"/>
  <c r="P57" i="1" s="1"/>
  <c r="P58" i="1" s="1"/>
  <c r="M28" i="1"/>
  <c r="M57" i="1" s="1"/>
  <c r="M58" i="1" s="1"/>
  <c r="C12" i="1"/>
  <c r="C31" i="1" l="1"/>
  <c r="F104" i="2"/>
  <c r="D31" i="1" s="1"/>
  <c r="H31" i="1" s="1"/>
  <c r="H52" i="1"/>
  <c r="K52" i="1"/>
  <c r="K62" i="1" s="1"/>
  <c r="F52" i="1"/>
  <c r="F62" i="1" s="1"/>
  <c r="F64" i="1" s="1"/>
  <c r="F60" i="2"/>
  <c r="D9" i="1" s="1"/>
  <c r="G9" i="1" s="1"/>
  <c r="F45" i="2"/>
  <c r="F34" i="2"/>
  <c r="F33" i="2"/>
  <c r="F17" i="2"/>
  <c r="I52" i="1" l="1"/>
  <c r="I62" i="1" s="1"/>
  <c r="H32" i="1"/>
  <c r="H61" i="1" s="1"/>
  <c r="H62" i="1"/>
  <c r="F44" i="2"/>
  <c r="F41" i="2"/>
  <c r="H64" i="1" l="1"/>
  <c r="E39" i="2"/>
  <c r="F66" i="2" l="1"/>
  <c r="G52" i="1"/>
  <c r="C13" i="1"/>
  <c r="C5" i="1"/>
  <c r="F38" i="2"/>
  <c r="F35" i="2"/>
  <c r="F36" i="2" s="1"/>
  <c r="F69" i="2"/>
  <c r="F70" i="2"/>
  <c r="F67" i="2"/>
  <c r="F68" i="2"/>
  <c r="F71" i="2" l="1"/>
  <c r="F72" i="2"/>
  <c r="F63" i="2"/>
  <c r="F80" i="2"/>
  <c r="F13" i="2"/>
  <c r="E52" i="1"/>
  <c r="F92" i="2"/>
  <c r="F93" i="2" s="1"/>
  <c r="F94" i="2" s="1"/>
  <c r="F39" i="2"/>
  <c r="F40" i="2" s="1"/>
  <c r="F10" i="2"/>
  <c r="F6" i="2"/>
  <c r="F9" i="2"/>
  <c r="F5" i="2"/>
  <c r="F85" i="4"/>
  <c r="F84" i="4"/>
  <c r="F78" i="4"/>
  <c r="D27" i="1" s="1"/>
  <c r="K27" i="1" s="1"/>
  <c r="L27" i="1" s="1"/>
  <c r="L28" i="1" s="1"/>
  <c r="L57" i="1" s="1"/>
  <c r="L58" i="1" s="1"/>
  <c r="E62" i="1" l="1"/>
  <c r="F7" i="2"/>
  <c r="F86" i="4"/>
  <c r="D69" i="1" s="1"/>
  <c r="F11" i="2"/>
  <c r="F95" i="2"/>
  <c r="K32" i="1" l="1"/>
  <c r="K61" i="1" s="1"/>
  <c r="K64" i="1" s="1"/>
  <c r="D13" i="1"/>
  <c r="L13" i="1" s="1"/>
  <c r="R13" i="1" s="1"/>
  <c r="F54" i="4"/>
  <c r="F24" i="4"/>
  <c r="D19" i="1" s="1"/>
  <c r="K19" i="1" s="1"/>
  <c r="K28" i="1" s="1"/>
  <c r="K57" i="1" s="1"/>
  <c r="K58" i="1" s="1"/>
  <c r="F52" i="4"/>
  <c r="F53" i="4"/>
  <c r="F62" i="4"/>
  <c r="F60" i="4" l="1"/>
  <c r="F35" i="4"/>
  <c r="F76" i="4" l="1"/>
  <c r="D26" i="1" s="1"/>
  <c r="G26" i="1" s="1"/>
  <c r="F61" i="4"/>
  <c r="F68" i="4"/>
  <c r="F69" i="4"/>
  <c r="F70" i="4"/>
  <c r="F51" i="4"/>
  <c r="F55" i="4" s="1"/>
  <c r="F45" i="4"/>
  <c r="F44" i="4"/>
  <c r="F43" i="4"/>
  <c r="F42" i="4"/>
  <c r="F36" i="4"/>
  <c r="F37" i="4" s="1"/>
  <c r="F19" i="4"/>
  <c r="F13" i="4"/>
  <c r="F12" i="4"/>
  <c r="F6" i="4"/>
  <c r="F5" i="4"/>
  <c r="C11" i="1"/>
  <c r="C10" i="1"/>
  <c r="C9" i="1"/>
  <c r="C30" i="1"/>
  <c r="F52" i="2"/>
  <c r="F53" i="2"/>
  <c r="F54" i="2"/>
  <c r="F55" i="2"/>
  <c r="F51" i="2"/>
  <c r="C8" i="1"/>
  <c r="F42" i="2"/>
  <c r="F43" i="2"/>
  <c r="C7" i="1"/>
  <c r="C6" i="1"/>
  <c r="F24" i="2"/>
  <c r="F25" i="2"/>
  <c r="F26" i="2"/>
  <c r="F23" i="2"/>
  <c r="F16" i="2"/>
  <c r="F15" i="2"/>
  <c r="F14" i="2"/>
  <c r="F12" i="2"/>
  <c r="F18" i="2" s="1"/>
  <c r="F46" i="2" l="1"/>
  <c r="F27" i="2"/>
  <c r="F56" i="2"/>
  <c r="F57" i="2" s="1"/>
  <c r="F58" i="2" s="1"/>
  <c r="D8" i="1" s="1"/>
  <c r="L8" i="1" s="1"/>
  <c r="L14" i="1" s="1"/>
  <c r="L54" i="1" s="1"/>
  <c r="F63" i="4"/>
  <c r="F64" i="4" s="1"/>
  <c r="F65" i="4" s="1"/>
  <c r="D24" i="1" s="1"/>
  <c r="F71" i="4"/>
  <c r="F72" i="4" s="1"/>
  <c r="F73" i="4" s="1"/>
  <c r="D25" i="1" s="1"/>
  <c r="E25" i="1" s="1"/>
  <c r="F14" i="4"/>
  <c r="F7" i="4"/>
  <c r="F46" i="4"/>
  <c r="F47" i="4" s="1"/>
  <c r="F48" i="4" s="1"/>
  <c r="D22" i="1" s="1"/>
  <c r="F20" i="4"/>
  <c r="F56" i="4"/>
  <c r="F57" i="4" s="1"/>
  <c r="D23" i="1" s="1"/>
  <c r="F38" i="4"/>
  <c r="F39" i="4" s="1"/>
  <c r="D21" i="1" s="1"/>
  <c r="N21" i="1" s="1"/>
  <c r="F64" i="2"/>
  <c r="F73" i="2" s="1"/>
  <c r="F74" i="2" s="1"/>
  <c r="F102" i="2"/>
  <c r="N22" i="1" l="1"/>
  <c r="O22" i="1" s="1"/>
  <c r="O28" i="1" s="1"/>
  <c r="O57" i="1" s="1"/>
  <c r="O58" i="1" s="1"/>
  <c r="E24" i="1"/>
  <c r="H24" i="1"/>
  <c r="F23" i="1"/>
  <c r="F28" i="1" s="1"/>
  <c r="F57" i="1" s="1"/>
  <c r="F58" i="1" s="1"/>
  <c r="L55" i="1"/>
  <c r="L60" i="1"/>
  <c r="F21" i="4"/>
  <c r="F22" i="4" s="1"/>
  <c r="D18" i="1" s="1"/>
  <c r="E18" i="1" s="1"/>
  <c r="F15" i="4"/>
  <c r="F16" i="4" s="1"/>
  <c r="D17" i="1" s="1"/>
  <c r="J17" i="1" s="1"/>
  <c r="J28" i="1" s="1"/>
  <c r="J57" i="1" s="1"/>
  <c r="J58" i="1" s="1"/>
  <c r="F28" i="2"/>
  <c r="F19" i="2"/>
  <c r="F8" i="4"/>
  <c r="F9" i="4" s="1"/>
  <c r="D16" i="1" s="1"/>
  <c r="R8" i="1"/>
  <c r="G23" i="1" l="1"/>
  <c r="N28" i="1"/>
  <c r="N57" i="1" s="1"/>
  <c r="N58" i="1" s="1"/>
  <c r="I24" i="1"/>
  <c r="I28" i="1" s="1"/>
  <c r="I57" i="1" s="1"/>
  <c r="I58" i="1" s="1"/>
  <c r="E28" i="1"/>
  <c r="E57" i="1" s="1"/>
  <c r="E58" i="1" s="1"/>
  <c r="H16" i="1"/>
  <c r="H28" i="1" s="1"/>
  <c r="H57" i="1" s="1"/>
  <c r="D28" i="1"/>
  <c r="D57" i="1" s="1"/>
  <c r="F79" i="4"/>
  <c r="F29" i="2"/>
  <c r="D6" i="1" s="1"/>
  <c r="K6" i="1" s="1"/>
  <c r="K14" i="1" s="1"/>
  <c r="K54" i="1" s="1"/>
  <c r="F20" i="2"/>
  <c r="F75" i="2"/>
  <c r="D10" i="1" s="1"/>
  <c r="H10" i="1" s="1"/>
  <c r="H14" i="1" s="1"/>
  <c r="H54" i="1" s="1"/>
  <c r="H55" i="1" s="1"/>
  <c r="G58" i="1" l="1"/>
  <c r="H60" i="1"/>
  <c r="H58" i="1"/>
  <c r="K55" i="1"/>
  <c r="K60" i="1"/>
  <c r="D5" i="1"/>
  <c r="I5" i="1" s="1"/>
  <c r="I14" i="1" s="1"/>
  <c r="I54" i="1" s="1"/>
  <c r="R6" i="1"/>
  <c r="R10" i="1"/>
  <c r="F101" i="2"/>
  <c r="F103" i="2" s="1"/>
  <c r="I55" i="1" l="1"/>
  <c r="I60" i="1"/>
  <c r="R5" i="1"/>
  <c r="F78" i="2"/>
  <c r="F79" i="2"/>
  <c r="F86" i="2"/>
  <c r="F87" i="2" s="1"/>
  <c r="F88" i="2" s="1"/>
  <c r="D12" i="1" s="1"/>
  <c r="J12" i="1" s="1"/>
  <c r="R12" i="1" l="1"/>
  <c r="J14" i="1"/>
  <c r="J54" i="1" s="1"/>
  <c r="F81" i="2"/>
  <c r="F82" i="2" s="1"/>
  <c r="D30" i="1"/>
  <c r="I30" i="1" s="1"/>
  <c r="I32" i="1" s="1"/>
  <c r="I61" i="1" s="1"/>
  <c r="I64" i="1" s="1"/>
  <c r="J55" i="1" l="1"/>
  <c r="J60" i="1"/>
  <c r="G32" i="1"/>
  <c r="G61" i="1" s="1"/>
  <c r="D61" i="1"/>
  <c r="F83" i="2"/>
  <c r="D11" i="1" s="1"/>
  <c r="E11" i="1" s="1"/>
  <c r="R9" i="1"/>
  <c r="N14" i="1"/>
  <c r="N54" i="1" s="1"/>
  <c r="O14" i="1"/>
  <c r="O54" i="1" s="1"/>
  <c r="P14" i="1"/>
  <c r="P54" i="1" s="1"/>
  <c r="N55" i="1" l="1"/>
  <c r="N60" i="1"/>
  <c r="O55" i="1"/>
  <c r="O60" i="1"/>
  <c r="P55" i="1"/>
  <c r="P60" i="1"/>
  <c r="G62" i="1"/>
  <c r="G64" i="1" s="1"/>
  <c r="M14" i="1"/>
  <c r="M54" i="1" s="1"/>
  <c r="E14" i="1"/>
  <c r="E54" i="1" s="1"/>
  <c r="E55" i="1" l="1"/>
  <c r="E60" i="1"/>
  <c r="M55" i="1"/>
  <c r="M60" i="1"/>
  <c r="R11" i="1"/>
  <c r="S11" i="1" s="1"/>
  <c r="F47" i="2"/>
  <c r="F48" i="2" s="1"/>
  <c r="F96" i="2" s="1"/>
  <c r="D7" i="1" l="1"/>
  <c r="F7" i="1" l="1"/>
  <c r="G7" i="1" s="1"/>
  <c r="D14" i="1"/>
  <c r="D54" i="1" s="1"/>
  <c r="F14" i="1" l="1"/>
  <c r="F54" i="1" s="1"/>
  <c r="F55" i="1" s="1"/>
  <c r="D55" i="1"/>
  <c r="D60" i="1"/>
  <c r="G14" i="1"/>
  <c r="F60" i="1" l="1"/>
  <c r="Q14" i="1"/>
  <c r="G54" i="1"/>
  <c r="R7" i="1"/>
  <c r="R14" i="1" s="1"/>
  <c r="G55" i="1" l="1"/>
  <c r="G60" i="1"/>
  <c r="D52" i="1"/>
  <c r="D62" i="1" s="1"/>
  <c r="J52" i="1"/>
  <c r="J62" i="1" s="1"/>
  <c r="J64" i="1" s="1"/>
  <c r="D58" i="1"/>
</calcChain>
</file>

<file path=xl/sharedStrings.xml><?xml version="1.0" encoding="utf-8"?>
<sst xmlns="http://schemas.openxmlformats.org/spreadsheetml/2006/main" count="370" uniqueCount="155">
  <si>
    <t>Asula/RKA/reovee-kogumispiirkond</t>
  </si>
  <si>
    <t>Asula/projekt v teostatav töö</t>
  </si>
  <si>
    <t>Kogu-maksumus (KM-ta)</t>
  </si>
  <si>
    <t>Jrk. nr</t>
  </si>
  <si>
    <t>KOKKU</t>
  </si>
  <si>
    <t>Veetorustike rekonstrueerimine</t>
  </si>
  <si>
    <t>Kogus</t>
  </si>
  <si>
    <t>Ühikhind</t>
  </si>
  <si>
    <t>Reoveepumpla rajamine</t>
  </si>
  <si>
    <t>m</t>
  </si>
  <si>
    <t>kmpl</t>
  </si>
  <si>
    <t>Ühik</t>
  </si>
  <si>
    <t xml:space="preserve">Isevoolse kanalisatsioonitorustiku rekonstrueerimine </t>
  </si>
  <si>
    <t>Survekanalisatsioonitorustiku rekonstrueerimine</t>
  </si>
  <si>
    <t>Maksumus</t>
  </si>
  <si>
    <t>Isevoolse kanalisatsioonitorustiku rajamine</t>
  </si>
  <si>
    <t>Ehitustööd kokku</t>
  </si>
  <si>
    <t>Kõik kokku</t>
  </si>
  <si>
    <t>Aravete</t>
  </si>
  <si>
    <t>Käravete</t>
  </si>
  <si>
    <t>Ambla</t>
  </si>
  <si>
    <t>Peetri</t>
  </si>
  <si>
    <t>Jõgisoo</t>
  </si>
  <si>
    <t>Imavere</t>
  </si>
  <si>
    <t>Käsukonna</t>
  </si>
  <si>
    <t>Koigi</t>
  </si>
  <si>
    <t>Koeru</t>
  </si>
  <si>
    <t>Järva-Jaani</t>
  </si>
  <si>
    <t>Vao</t>
  </si>
  <si>
    <t>Ervita</t>
  </si>
  <si>
    <t>Ahula</t>
  </si>
  <si>
    <t>Töö</t>
  </si>
  <si>
    <t>Veetorustiku rajamine</t>
  </si>
  <si>
    <t>Survekanalisatsioonitorustiku rajamine</t>
  </si>
  <si>
    <t>Projekteerimine, omanikujärelevalve, projektijuhtimine ja ettenägematud kulud 15%</t>
  </si>
  <si>
    <t>Aravete ÜVK laiendamine</t>
  </si>
  <si>
    <t>Käravete ÜVK laiendamine</t>
  </si>
  <si>
    <t>Ambla ÜVK laiendamine</t>
  </si>
  <si>
    <t>Peetri aleviku ÜVK rekonstrueerimine ja laiendamine</t>
  </si>
  <si>
    <t>Veetorustiku rekonstrueerimine</t>
  </si>
  <si>
    <t>Isevoolse kanalisatsioonitorustiku rekonstrueerimine</t>
  </si>
  <si>
    <t>Käsukonna reoveepumpla rekonstrueerimine</t>
  </si>
  <si>
    <t>Rajatakse kanalisatsiooniga liitumine neile, kel on juba vesi enne olemas + 14 uut vett ja 14 uut kanalit</t>
  </si>
  <si>
    <t>Rajatakse kanalisatsiooniga liitumine neile, kel on juba vesi enne olemas + 2 uut vett ja 2 uut kanalit</t>
  </si>
  <si>
    <t>72 uut kinnistut vesi+kanal</t>
  </si>
  <si>
    <t>5 uut kinnistut vesi + kanal, lisaks Peetri hooldekodu kanal</t>
  </si>
  <si>
    <t>Torustike rek+veevarustus Amblast+reovee pumpamine ambla reoveepuhastile. Jõgisoo puurkaev ja reoveepuhasti jäävad käigust välja</t>
  </si>
  <si>
    <t xml:space="preserve">1 reoveepumpla likvideeritakse, teine rekonstrueeritakse </t>
  </si>
  <si>
    <t>1 reoveepumpla rek</t>
  </si>
  <si>
    <t>Lisainfo FMA jaoks</t>
  </si>
  <si>
    <t>Koeru ÜVK rekonstrueerimine</t>
  </si>
  <si>
    <t>Veetorustiku rekonstrueerimine (Pikk tn)</t>
  </si>
  <si>
    <t>Veetöötluse rekonstrueerimine</t>
  </si>
  <si>
    <t xml:space="preserve">Isevoolse kanalisatsioonitorustiku rajamine </t>
  </si>
  <si>
    <t>Karinu</t>
  </si>
  <si>
    <t>Karinu reovee Järva-Jaani reoveepuhastile suunamine</t>
  </si>
  <si>
    <t>Ahula ÜVK rekonstrueerimine</t>
  </si>
  <si>
    <t>Albu</t>
  </si>
  <si>
    <t>Reovee peapumpla rekonstrueerimine</t>
  </si>
  <si>
    <t xml:space="preserve">Albu reoveepuhasti rekonstrueerimine </t>
  </si>
  <si>
    <t>Arendusala väljaehitamine</t>
  </si>
  <si>
    <t>Raudtee tn 23 DP ÜVK väljaehitamine (4 kinnistu liitumine)</t>
  </si>
  <si>
    <t>Vao ÜVK rekonstrueerimine</t>
  </si>
  <si>
    <t>Reoveepumpla rekonstrueerimine</t>
  </si>
  <si>
    <t>Karinu reoveepuhasti likvideerimine</t>
  </si>
  <si>
    <t>Ervita küla kanalisatsioonivõrgu rekonstrueerimine ja laiendamine Väinjärve teel</t>
  </si>
  <si>
    <t>Isevoolse kanalisatsioonitorustiku rajamine Väinjärve teel</t>
  </si>
  <si>
    <t>tk</t>
  </si>
  <si>
    <t>Veetorustiku rekonstrueerimine (E. Viiralti tn)</t>
  </si>
  <si>
    <t>Koeru ÜVK laiendamine (Kaera tn, Raja tn)</t>
  </si>
  <si>
    <t>Reoveepumplate RP-Kultuurimaja, RP-Konserv, RP-Jaama, RP-Kalda, RP-Pargi ja RP-Pikk rekonstrueerimine</t>
  </si>
  <si>
    <t>Kokku</t>
  </si>
  <si>
    <t>Keskuse puurkaevpumplas rauaärastusseadmete uuendamine (13 m3/h)</t>
  </si>
  <si>
    <t>Elektrigeneraatori paigaldamine Kete pk nr 3 (10096) puurkaevpumplasse</t>
  </si>
  <si>
    <t>Kete pk nr 3 (10096) II astme mahutite likvideerimine</t>
  </si>
  <si>
    <t>Isevoolse kanalisatsioonitorustiku rajamine Pargi tn, Oja teel ja Ambla teel</t>
  </si>
  <si>
    <t>Puurkaevpumpla (8251) juurdepääsutee ehitamine Veski tn-lt</t>
  </si>
  <si>
    <t>Reoveepuhasti lammutamine</t>
  </si>
  <si>
    <t>Päinurme</t>
  </si>
  <si>
    <t>Ühiskanalisatsiooni rekonstrueerimine Kirsi tn piirkonnas</t>
  </si>
  <si>
    <t>Isevoolse kanalisatsioonitorustik rekonstrueerimine (Kirsi tn, Männi tn 1)</t>
  </si>
  <si>
    <t>Käsukonna tee 16a tuletõrjeveemahuti rekonstrueerimine</t>
  </si>
  <si>
    <t>Tuletõrjeveemahuti rajamine</t>
  </si>
  <si>
    <t>Isevoolse kanalisatsioonitorustiku rekonstrueerimine (E. Viiralti tn, Ida tn, Paide tee - reoveepuhasti)</t>
  </si>
  <si>
    <t>Vao ÜVK laiendamine (Tamme teel, Mõisapargi teel ja Veski pst)</t>
  </si>
  <si>
    <t>Veetorustiku rajamine (Tamme tee, Mõisapargi tee, Veski pst)</t>
  </si>
  <si>
    <t>Isevoolse kanalisatsioonitorustiku rajamine (Tamme tee, Mõisapargi tee, Veski pst)</t>
  </si>
  <si>
    <t>Survekanalisatsioonitorustiku rajamine (Tamme tee, Mõisapargi tee)</t>
  </si>
  <si>
    <t>Reoveepumpla rajamine (Tamme tee, Mõisapargi tee)</t>
  </si>
  <si>
    <t>Reoveepuhastisse 10 m3 mudamahuti paigaldamine</t>
  </si>
  <si>
    <t>Käsukonna veetöötlusjaama automaatika ja SCADA uuendamine</t>
  </si>
  <si>
    <t>1. biotiigi rekonstrueerimine (580 m2)</t>
  </si>
  <si>
    <t>2. biotiigi likvideerimine (250 m2)</t>
  </si>
  <si>
    <t>Reoveepuhasti mahutite rajamine</t>
  </si>
  <si>
    <t>Reoveepuhasti tehnoloogilised seadmed</t>
  </si>
  <si>
    <t>Teenindushoone</t>
  </si>
  <si>
    <t>Olemasoleva reoveepuhasti likvideerimine</t>
  </si>
  <si>
    <t>Reoveepuhasti elektri- ja automaatikaseadmed</t>
  </si>
  <si>
    <t>Käsukonna reoveepuhasti rekonstrueerimine (~80 IE, 7 m3/d), sh:</t>
  </si>
  <si>
    <t>Keskuse puurkaevu (7553) II astme plastmahuti väljavõtmine</t>
  </si>
  <si>
    <t>Kete puurkaevpumpla</t>
  </si>
  <si>
    <t>Projekteerimine, omanikujärelevalve, projektijuhtimine ja ettenägematud kulud 10%</t>
  </si>
  <si>
    <t>Reoveepuhasti elektri- ja automaatikaosa, õhupuhurite rekonstrueerimine</t>
  </si>
  <si>
    <t xml:space="preserve">Veetorustiku rajamine Pargi tn </t>
  </si>
  <si>
    <t>Pikk 35a veetöötlusjaam</t>
  </si>
  <si>
    <t>Filtripesuvee isevoolse kanalisatsioonitoru ehitus</t>
  </si>
  <si>
    <t>Rauaeraldusfiltrite paigaldus</t>
  </si>
  <si>
    <t>UV-filter</t>
  </si>
  <si>
    <t>Veski 3 veetöötlusjaam (jääb reservkaevuks)</t>
  </si>
  <si>
    <t>Ambla reoveepuhasti II liini ehitus, elektri- ja automaatika rekonstrueerimine</t>
  </si>
  <si>
    <t>Kodunurme 1 ja 2 reoveepumplate rekonstrueerimine</t>
  </si>
  <si>
    <t>Jõgisoo kasutusest väljajäänud pumplahoone ja reoveepuhasti lammutamine</t>
  </si>
  <si>
    <t>Pumplahoone lammutamine</t>
  </si>
  <si>
    <t>Sõrandu</t>
  </si>
  <si>
    <t>Roosna</t>
  </si>
  <si>
    <t>Likvideerida pumpla ja tamponeerida puurkaev 6466</t>
  </si>
  <si>
    <t>Kokku ÜVK</t>
  </si>
  <si>
    <t>Tuletõrjeveevõtukoha rajamine Käravete järve äärde</t>
  </si>
  <si>
    <t>Veski 3 veetöötlusjaama rekonstrueerimine (pk 8251, sanitaarremont, elektri- ja automaatikaosa uuendamine)</t>
  </si>
  <si>
    <t xml:space="preserve"> </t>
  </si>
  <si>
    <t>Koigi ÜVK rekonstrueerimine (Roheline tn), mudamahuti paigaldamine reoveepuhastisse</t>
  </si>
  <si>
    <t>Tabel 2. Tööde mahud AS Paide Vesi teeninduspiirkonnas</t>
  </si>
  <si>
    <t>Käsukonna reoveepuhasti, biotiikide ja reoveepumpla rekonstrueerimine</t>
  </si>
  <si>
    <t>1. Investeeringud AS Paide Vesi teeninduspiirkonnas</t>
  </si>
  <si>
    <t xml:space="preserve">2.  Investeeringud AS Järva Haldus teeninduspiirkonnas </t>
  </si>
  <si>
    <t>Investeeringud tuletõrjeveevarustusse kokku</t>
  </si>
  <si>
    <t>ÜVK rajatiste likvideerimine kokku</t>
  </si>
  <si>
    <t>sh AS Paide Vesi</t>
  </si>
  <si>
    <t>sh Järva vald</t>
  </si>
  <si>
    <t>sh AS Järva Haldus</t>
  </si>
  <si>
    <t>Tuletõrje veevarustus kokku (Järva vald)</t>
  </si>
  <si>
    <t>ÜVK rajatiste likvideerimine kokku (Järva vald)</t>
  </si>
  <si>
    <t xml:space="preserve">Järva valla asulad </t>
  </si>
  <si>
    <t>Tabel 1. Investeeringud Järva valla asulates</t>
  </si>
  <si>
    <t>AS Paide Vesi piirkond ÜVK kokku</t>
  </si>
  <si>
    <t>AS Järva Haldus piirkond ÜVK kokku</t>
  </si>
  <si>
    <t>AS Paide Vesi ja Järva Haldus ÜVK kokku</t>
  </si>
  <si>
    <r>
      <t>Finant</t>
    </r>
    <r>
      <rPr>
        <b/>
        <sz val="12"/>
        <rFont val="Calibri"/>
        <family val="2"/>
        <scheme val="minor"/>
      </rPr>
      <t>seeri</t>
    </r>
    <r>
      <rPr>
        <b/>
        <sz val="11"/>
        <rFont val="Calibri"/>
        <family val="2"/>
        <scheme val="minor"/>
      </rPr>
      <t>misskeem: liitumistasudest</t>
    </r>
  </si>
  <si>
    <t>4. Järva valla investeeringud tuletõrje veevarustusse</t>
  </si>
  <si>
    <t>3. Järva valla kasutusest välja jäänud ÜVK-rajatiste likvideerimine</t>
  </si>
  <si>
    <t>5. FINANTSEERIMINE (KOOND)</t>
  </si>
  <si>
    <t>Tabel 3. Tööde mahud AS Järva Haldus teeninduspiirkonnas</t>
  </si>
  <si>
    <t>AS Paide Vesi teeninduspiirkond kõik kokku</t>
  </si>
  <si>
    <t>AS Järva Haldus teeninduspiirkond kõik kokku</t>
  </si>
  <si>
    <t>Kasutusest välja jäänud ÜVK rajatiste likvideerimine</t>
  </si>
  <si>
    <t>Järva valla finantseering ÜVK kokku</t>
  </si>
  <si>
    <t>Sademevee kanalisatsiooni ehitamine (Järva vald)</t>
  </si>
  <si>
    <t>Esna</t>
  </si>
  <si>
    <t>Tuletõrjeveemahutite rekonstrueerimine</t>
  </si>
  <si>
    <t xml:space="preserve">Järva-Jaani </t>
  </si>
  <si>
    <t>Tuletõrjeveemahutite rajamine</t>
  </si>
  <si>
    <t>Purgla uuendamine</t>
  </si>
  <si>
    <t>Uus purgla mahuti (14 m3)</t>
  </si>
  <si>
    <t>Tehnohoone juurdeehitis</t>
  </si>
  <si>
    <t>Õhukompressorite uuendamine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</si>
</sst>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_-* #,##0\ _€_-;\-* #,##0\ _€_-;_-* &quot;-&quot;??\ _€_-;_-@_-"/>
    <numFmt numFmtId="166" formatCode="0.0"/>
    <numFmt numFmtId="167" formatCode="#,##0.0"/>
  </numFmts>
  <fonts count="34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charset val="186"/>
      <scheme val="minor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color rgb="FFFF0000"/>
      <name val="Calibri"/>
      <family val="2"/>
      <charset val="186"/>
      <scheme val="minor"/>
    </font>
    <font>
      <sz val="11"/>
      <color rgb="FF00B050"/>
      <name val="Calibri"/>
      <family val="2"/>
      <charset val="186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8" fillId="0" borderId="0" applyFont="0" applyFill="0" applyBorder="0" applyAlignment="0" applyProtection="0"/>
  </cellStyleXfs>
  <cellXfs count="283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3" fontId="0" fillId="0" borderId="1" xfId="0" applyNumberFormat="1" applyBorder="1"/>
    <xf numFmtId="0" fontId="0" fillId="0" borderId="3" xfId="0" applyBorder="1"/>
    <xf numFmtId="0" fontId="0" fillId="0" borderId="5" xfId="0" applyBorder="1"/>
    <xf numFmtId="0" fontId="20" fillId="0" borderId="3" xfId="0" applyFont="1" applyBorder="1"/>
    <xf numFmtId="0" fontId="20" fillId="0" borderId="0" xfId="0" applyFont="1"/>
    <xf numFmtId="0" fontId="21" fillId="0" borderId="0" xfId="0" applyFont="1"/>
    <xf numFmtId="0" fontId="22" fillId="0" borderId="1" xfId="0" applyFont="1" applyBorder="1"/>
    <xf numFmtId="0" fontId="22" fillId="0" borderId="0" xfId="0" applyFont="1"/>
    <xf numFmtId="0" fontId="22" fillId="0" borderId="1" xfId="0" applyFont="1" applyBorder="1" applyAlignment="1">
      <alignment wrapText="1"/>
    </xf>
    <xf numFmtId="3" fontId="22" fillId="0" borderId="1" xfId="0" applyNumberFormat="1" applyFont="1" applyBorder="1"/>
    <xf numFmtId="0" fontId="17" fillId="0" borderId="1" xfId="0" applyFont="1" applyBorder="1"/>
    <xf numFmtId="0" fontId="17" fillId="0" borderId="0" xfId="0" applyFont="1"/>
    <xf numFmtId="3" fontId="17" fillId="0" borderId="1" xfId="0" applyNumberFormat="1" applyFont="1" applyBorder="1"/>
    <xf numFmtId="0" fontId="23" fillId="0" borderId="0" xfId="0" applyFont="1"/>
    <xf numFmtId="3" fontId="17" fillId="0" borderId="0" xfId="0" applyNumberFormat="1" applyFont="1"/>
    <xf numFmtId="0" fontId="17" fillId="0" borderId="0" xfId="0" applyFont="1" applyAlignment="1">
      <alignment wrapText="1"/>
    </xf>
    <xf numFmtId="3" fontId="22" fillId="0" borderId="0" xfId="0" applyNumberFormat="1" applyFont="1"/>
    <xf numFmtId="0" fontId="17" fillId="0" borderId="1" xfId="0" applyFont="1" applyBorder="1" applyAlignment="1">
      <alignment horizontal="justify" vertical="center" wrapText="1"/>
    </xf>
    <xf numFmtId="0" fontId="17" fillId="0" borderId="1" xfId="0" applyFont="1" applyBorder="1" applyAlignment="1">
      <alignment horizontal="lef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horizontal="justify" vertical="center" wrapText="1"/>
    </xf>
    <xf numFmtId="0" fontId="22" fillId="0" borderId="1" xfId="0" applyFont="1" applyBorder="1" applyAlignment="1">
      <alignment horizontal="left" vertical="center" wrapText="1"/>
    </xf>
    <xf numFmtId="3" fontId="22" fillId="0" borderId="1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wrapText="1"/>
    </xf>
    <xf numFmtId="0" fontId="17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66" fontId="17" fillId="0" borderId="0" xfId="0" applyNumberFormat="1" applyFont="1"/>
    <xf numFmtId="1" fontId="17" fillId="0" borderId="0" xfId="0" applyNumberFormat="1" applyFont="1"/>
    <xf numFmtId="0" fontId="16" fillId="0" borderId="0" xfId="0" applyFont="1"/>
    <xf numFmtId="166" fontId="23" fillId="0" borderId="0" xfId="0" applyNumberFormat="1" applyFont="1"/>
    <xf numFmtId="0" fontId="16" fillId="0" borderId="1" xfId="0" applyFont="1" applyBorder="1" applyAlignment="1">
      <alignment horizontal="left" vertical="center" wrapText="1"/>
    </xf>
    <xf numFmtId="0" fontId="23" fillId="4" borderId="0" xfId="0" applyFont="1" applyFill="1"/>
    <xf numFmtId="0" fontId="17" fillId="4" borderId="0" xfId="0" applyFont="1" applyFill="1"/>
    <xf numFmtId="0" fontId="16" fillId="0" borderId="1" xfId="0" applyFont="1" applyBorder="1"/>
    <xf numFmtId="3" fontId="17" fillId="4" borderId="1" xfId="0" applyNumberFormat="1" applyFont="1" applyFill="1" applyBorder="1"/>
    <xf numFmtId="0" fontId="24" fillId="0" borderId="1" xfId="0" applyFont="1" applyBorder="1" applyAlignment="1">
      <alignment wrapText="1"/>
    </xf>
    <xf numFmtId="0" fontId="25" fillId="0" borderId="1" xfId="0" applyFont="1" applyBorder="1" applyAlignment="1">
      <alignment wrapText="1"/>
    </xf>
    <xf numFmtId="3" fontId="16" fillId="0" borderId="1" xfId="0" applyNumberFormat="1" applyFont="1" applyBorder="1"/>
    <xf numFmtId="0" fontId="16" fillId="0" borderId="1" xfId="0" applyFont="1" applyBorder="1" applyAlignment="1">
      <alignment horizontal="justify" vertical="center" wrapText="1"/>
    </xf>
    <xf numFmtId="3" fontId="16" fillId="0" borderId="1" xfId="0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horizontal="center" vertical="center"/>
    </xf>
    <xf numFmtId="0" fontId="0" fillId="0" borderId="9" xfId="0" applyBorder="1" applyAlignment="1">
      <alignment wrapText="1"/>
    </xf>
    <xf numFmtId="0" fontId="0" fillId="0" borderId="5" xfId="0" applyBorder="1" applyAlignment="1">
      <alignment wrapText="1"/>
    </xf>
    <xf numFmtId="0" fontId="0" fillId="4" borderId="5" xfId="0" applyFill="1" applyBorder="1" applyAlignment="1">
      <alignment wrapText="1"/>
    </xf>
    <xf numFmtId="0" fontId="0" fillId="0" borderId="9" xfId="0" applyBorder="1"/>
    <xf numFmtId="3" fontId="0" fillId="0" borderId="10" xfId="0" applyNumberFormat="1" applyBorder="1"/>
    <xf numFmtId="3" fontId="0" fillId="0" borderId="11" xfId="0" applyNumberFormat="1" applyBorder="1"/>
    <xf numFmtId="0" fontId="0" fillId="0" borderId="11" xfId="0" applyBorder="1"/>
    <xf numFmtId="0" fontId="0" fillId="0" borderId="12" xfId="0" applyBorder="1"/>
    <xf numFmtId="3" fontId="0" fillId="0" borderId="13" xfId="0" applyNumberFormat="1" applyBorder="1"/>
    <xf numFmtId="0" fontId="0" fillId="0" borderId="14" xfId="0" applyBorder="1"/>
    <xf numFmtId="0" fontId="0" fillId="0" borderId="13" xfId="0" applyBorder="1"/>
    <xf numFmtId="3" fontId="0" fillId="0" borderId="0" xfId="0" applyNumberFormat="1" applyAlignment="1">
      <alignment wrapText="1"/>
    </xf>
    <xf numFmtId="3" fontId="0" fillId="0" borderId="12" xfId="0" applyNumberFormat="1" applyBorder="1"/>
    <xf numFmtId="3" fontId="0" fillId="0" borderId="14" xfId="0" applyNumberFormat="1" applyBorder="1"/>
    <xf numFmtId="3" fontId="0" fillId="0" borderId="0" xfId="0" applyNumberFormat="1"/>
    <xf numFmtId="3" fontId="20" fillId="0" borderId="0" xfId="0" applyNumberFormat="1" applyFont="1"/>
    <xf numFmtId="0" fontId="15" fillId="0" borderId="1" xfId="0" applyFont="1" applyBorder="1"/>
    <xf numFmtId="0" fontId="26" fillId="0" borderId="0" xfId="0" applyFont="1"/>
    <xf numFmtId="0" fontId="0" fillId="4" borderId="14" xfId="0" applyFill="1" applyBorder="1"/>
    <xf numFmtId="0" fontId="0" fillId="4" borderId="1" xfId="0" applyFill="1" applyBorder="1"/>
    <xf numFmtId="0" fontId="15" fillId="4" borderId="1" xfId="0" applyFont="1" applyFill="1" applyBorder="1" applyAlignment="1">
      <alignment horizontal="center" vertical="center"/>
    </xf>
    <xf numFmtId="3" fontId="22" fillId="4" borderId="1" xfId="0" applyNumberFormat="1" applyFont="1" applyFill="1" applyBorder="1"/>
    <xf numFmtId="0" fontId="24" fillId="0" borderId="0" xfId="0" applyFont="1"/>
    <xf numFmtId="3" fontId="27" fillId="0" borderId="0" xfId="0" applyNumberFormat="1" applyFont="1"/>
    <xf numFmtId="3" fontId="0" fillId="0" borderId="15" xfId="0" applyNumberFormat="1" applyBorder="1"/>
    <xf numFmtId="3" fontId="0" fillId="0" borderId="2" xfId="0" applyNumberFormat="1" applyBorder="1"/>
    <xf numFmtId="0" fontId="0" fillId="0" borderId="2" xfId="0" applyBorder="1"/>
    <xf numFmtId="0" fontId="0" fillId="0" borderId="16" xfId="0" applyBorder="1"/>
    <xf numFmtId="3" fontId="0" fillId="4" borderId="1" xfId="0" applyNumberFormat="1" applyFill="1" applyBorder="1"/>
    <xf numFmtId="0" fontId="14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center"/>
    </xf>
    <xf numFmtId="3" fontId="14" fillId="0" borderId="1" xfId="0" applyNumberFormat="1" applyFont="1" applyBorder="1"/>
    <xf numFmtId="0" fontId="14" fillId="0" borderId="1" xfId="0" applyFont="1" applyBorder="1"/>
    <xf numFmtId="0" fontId="29" fillId="0" borderId="0" xfId="0" applyFont="1"/>
    <xf numFmtId="3" fontId="14" fillId="0" borderId="17" xfId="0" applyNumberFormat="1" applyFont="1" applyBorder="1"/>
    <xf numFmtId="0" fontId="14" fillId="4" borderId="1" xfId="0" applyFont="1" applyFill="1" applyBorder="1"/>
    <xf numFmtId="0" fontId="14" fillId="4" borderId="1" xfId="0" applyFont="1" applyFill="1" applyBorder="1" applyAlignment="1">
      <alignment wrapText="1"/>
    </xf>
    <xf numFmtId="0" fontId="14" fillId="4" borderId="1" xfId="0" applyFont="1" applyFill="1" applyBorder="1" applyAlignment="1">
      <alignment horizontal="center" vertical="center"/>
    </xf>
    <xf numFmtId="3" fontId="14" fillId="4" borderId="1" xfId="0" applyNumberFormat="1" applyFont="1" applyFill="1" applyBorder="1"/>
    <xf numFmtId="0" fontId="14" fillId="4" borderId="0" xfId="0" applyFont="1" applyFill="1"/>
    <xf numFmtId="3" fontId="0" fillId="0" borderId="9" xfId="0" applyNumberFormat="1" applyBorder="1"/>
    <xf numFmtId="3" fontId="0" fillId="0" borderId="5" xfId="0" applyNumberFormat="1" applyBorder="1"/>
    <xf numFmtId="3" fontId="0" fillId="4" borderId="5" xfId="0" applyNumberFormat="1" applyFill="1" applyBorder="1"/>
    <xf numFmtId="3" fontId="27" fillId="4" borderId="5" xfId="0" applyNumberFormat="1" applyFont="1" applyFill="1" applyBorder="1"/>
    <xf numFmtId="0" fontId="1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wrapText="1"/>
    </xf>
    <xf numFmtId="3" fontId="28" fillId="0" borderId="0" xfId="0" applyNumberFormat="1" applyFont="1"/>
    <xf numFmtId="0" fontId="30" fillId="0" borderId="0" xfId="0" applyFont="1"/>
    <xf numFmtId="0" fontId="30" fillId="0" borderId="0" xfId="0" applyFont="1" applyAlignment="1">
      <alignment wrapText="1"/>
    </xf>
    <xf numFmtId="0" fontId="0" fillId="0" borderId="15" xfId="0" applyBorder="1"/>
    <xf numFmtId="0" fontId="0" fillId="0" borderId="15" xfId="0" applyBorder="1" applyAlignment="1">
      <alignment wrapText="1"/>
    </xf>
    <xf numFmtId="3" fontId="0" fillId="0" borderId="20" xfId="0" applyNumberFormat="1" applyBorder="1"/>
    <xf numFmtId="3" fontId="0" fillId="0" borderId="3" xfId="0" applyNumberFormat="1" applyBorder="1"/>
    <xf numFmtId="0" fontId="25" fillId="0" borderId="1" xfId="0" applyFont="1" applyBorder="1"/>
    <xf numFmtId="0" fontId="29" fillId="0" borderId="1" xfId="0" applyFont="1" applyBorder="1"/>
    <xf numFmtId="3" fontId="13" fillId="0" borderId="1" xfId="0" applyNumberFormat="1" applyFont="1" applyBorder="1"/>
    <xf numFmtId="0" fontId="24" fillId="0" borderId="1" xfId="0" applyFont="1" applyBorder="1"/>
    <xf numFmtId="0" fontId="13" fillId="0" borderId="1" xfId="0" applyFont="1" applyBorder="1"/>
    <xf numFmtId="0" fontId="13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/>
    </xf>
    <xf numFmtId="0" fontId="13" fillId="0" borderId="1" xfId="0" applyFont="1" applyBorder="1" applyAlignment="1">
      <alignment horizontal="justify" vertical="center" wrapText="1"/>
    </xf>
    <xf numFmtId="3" fontId="0" fillId="4" borderId="13" xfId="0" applyNumberFormat="1" applyFill="1" applyBorder="1"/>
    <xf numFmtId="0" fontId="12" fillId="0" borderId="0" xfId="0" applyFont="1"/>
    <xf numFmtId="0" fontId="22" fillId="0" borderId="0" xfId="0" applyFont="1" applyAlignment="1">
      <alignment horizontal="justify" vertical="center" wrapText="1"/>
    </xf>
    <xf numFmtId="0" fontId="22" fillId="0" borderId="0" xfId="0" applyFont="1" applyAlignment="1">
      <alignment horizontal="left" vertical="center" wrapText="1"/>
    </xf>
    <xf numFmtId="3" fontId="22" fillId="0" borderId="0" xfId="0" applyNumberFormat="1" applyFont="1" applyAlignment="1">
      <alignment horizontal="right" vertical="center" wrapText="1"/>
    </xf>
    <xf numFmtId="0" fontId="12" fillId="0" borderId="1" xfId="0" applyFont="1" applyBorder="1" applyAlignment="1">
      <alignment horizontal="left"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/>
    <xf numFmtId="0" fontId="11" fillId="0" borderId="1" xfId="0" applyFont="1" applyBorder="1" applyAlignment="1">
      <alignment wrapText="1"/>
    </xf>
    <xf numFmtId="0" fontId="22" fillId="0" borderId="0" xfId="0" applyFont="1" applyAlignment="1">
      <alignment horizontal="center" vertical="center"/>
    </xf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justify" vertical="center" wrapText="1"/>
    </xf>
    <xf numFmtId="3" fontId="0" fillId="0" borderId="22" xfId="0" applyNumberFormat="1" applyBorder="1"/>
    <xf numFmtId="3" fontId="0" fillId="0" borderId="21" xfId="0" applyNumberFormat="1" applyBorder="1"/>
    <xf numFmtId="0" fontId="11" fillId="0" borderId="1" xfId="0" applyFont="1" applyBorder="1"/>
    <xf numFmtId="3" fontId="0" fillId="0" borderId="23" xfId="0" applyNumberFormat="1" applyBorder="1"/>
    <xf numFmtId="3" fontId="0" fillId="0" borderId="4" xfId="0" applyNumberFormat="1" applyBorder="1"/>
    <xf numFmtId="3" fontId="0" fillId="0" borderId="24" xfId="0" applyNumberFormat="1" applyBorder="1"/>
    <xf numFmtId="0" fontId="0" fillId="0" borderId="10" xfId="0" applyBorder="1"/>
    <xf numFmtId="0" fontId="0" fillId="0" borderId="24" xfId="0" applyBorder="1"/>
    <xf numFmtId="3" fontId="0" fillId="0" borderId="25" xfId="0" applyNumberFormat="1" applyBorder="1"/>
    <xf numFmtId="0" fontId="0" fillId="0" borderId="25" xfId="0" applyBorder="1" applyAlignment="1">
      <alignment wrapText="1"/>
    </xf>
    <xf numFmtId="0" fontId="0" fillId="0" borderId="18" xfId="0" applyBorder="1"/>
    <xf numFmtId="3" fontId="0" fillId="0" borderId="26" xfId="0" applyNumberFormat="1" applyBorder="1"/>
    <xf numFmtId="3" fontId="0" fillId="0" borderId="16" xfId="0" applyNumberFormat="1" applyBorder="1"/>
    <xf numFmtId="0" fontId="0" fillId="0" borderId="25" xfId="0" applyBorder="1"/>
    <xf numFmtId="3" fontId="11" fillId="0" borderId="1" xfId="0" applyNumberFormat="1" applyFont="1" applyBorder="1"/>
    <xf numFmtId="0" fontId="25" fillId="0" borderId="1" xfId="0" applyFont="1" applyBorder="1" applyAlignment="1">
      <alignment horizontal="center" vertical="center"/>
    </xf>
    <xf numFmtId="3" fontId="25" fillId="0" borderId="1" xfId="0" applyNumberFormat="1" applyFont="1" applyBorder="1"/>
    <xf numFmtId="3" fontId="25" fillId="0" borderId="0" xfId="0" applyNumberFormat="1" applyFont="1"/>
    <xf numFmtId="0" fontId="0" fillId="0" borderId="1" xfId="0" applyBorder="1" applyAlignment="1">
      <alignment wrapText="1"/>
    </xf>
    <xf numFmtId="0" fontId="19" fillId="2" borderId="6" xfId="0" applyFont="1" applyFill="1" applyBorder="1" applyAlignment="1">
      <alignment vertical="top" wrapText="1"/>
    </xf>
    <xf numFmtId="165" fontId="0" fillId="3" borderId="7" xfId="1" applyNumberFormat="1" applyFont="1" applyFill="1" applyBorder="1" applyAlignment="1">
      <alignment horizontal="left" vertical="top"/>
    </xf>
    <xf numFmtId="165" fontId="0" fillId="2" borderId="7" xfId="1" applyNumberFormat="1" applyFont="1" applyFill="1" applyBorder="1" applyAlignment="1">
      <alignment horizontal="left" vertical="top"/>
    </xf>
    <xf numFmtId="165" fontId="0" fillId="2" borderId="8" xfId="1" applyNumberFormat="1" applyFont="1" applyFill="1" applyBorder="1" applyAlignment="1">
      <alignment horizontal="left" vertical="top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3" fontId="10" fillId="0" borderId="1" xfId="0" applyNumberFormat="1" applyFont="1" applyBorder="1"/>
    <xf numFmtId="3" fontId="28" fillId="0" borderId="1" xfId="0" applyNumberFormat="1" applyFont="1" applyBorder="1"/>
    <xf numFmtId="3" fontId="24" fillId="0" borderId="1" xfId="0" applyNumberFormat="1" applyFont="1" applyBorder="1"/>
    <xf numFmtId="0" fontId="0" fillId="0" borderId="22" xfId="0" applyBorder="1"/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justify" vertical="center" wrapText="1"/>
    </xf>
    <xf numFmtId="167" fontId="17" fillId="0" borderId="0" xfId="0" applyNumberFormat="1" applyFont="1"/>
    <xf numFmtId="166" fontId="8" fillId="0" borderId="0" xfId="0" applyNumberFormat="1" applyFont="1"/>
    <xf numFmtId="3" fontId="20" fillId="0" borderId="7" xfId="0" applyNumberFormat="1" applyFont="1" applyBorder="1"/>
    <xf numFmtId="3" fontId="20" fillId="0" borderId="8" xfId="0" applyNumberFormat="1" applyFont="1" applyBorder="1"/>
    <xf numFmtId="0" fontId="0" fillId="0" borderId="28" xfId="0" applyBorder="1"/>
    <xf numFmtId="0" fontId="0" fillId="0" borderId="4" xfId="0" applyBorder="1"/>
    <xf numFmtId="3" fontId="20" fillId="0" borderId="6" xfId="0" applyNumberFormat="1" applyFont="1" applyBorder="1"/>
    <xf numFmtId="3" fontId="20" fillId="0" borderId="27" xfId="0" applyNumberFormat="1" applyFont="1" applyBorder="1"/>
    <xf numFmtId="0" fontId="20" fillId="0" borderId="30" xfId="0" applyFont="1" applyBorder="1"/>
    <xf numFmtId="0" fontId="20" fillId="0" borderId="27" xfId="0" applyFont="1" applyBorder="1" applyAlignment="1">
      <alignment wrapText="1"/>
    </xf>
    <xf numFmtId="0" fontId="10" fillId="5" borderId="1" xfId="0" applyFont="1" applyFill="1" applyBorder="1" applyAlignment="1">
      <alignment wrapText="1"/>
    </xf>
    <xf numFmtId="0" fontId="10" fillId="5" borderId="1" xfId="0" applyFont="1" applyFill="1" applyBorder="1"/>
    <xf numFmtId="0" fontId="10" fillId="5" borderId="1" xfId="0" applyFont="1" applyFill="1" applyBorder="1" applyAlignment="1">
      <alignment horizontal="center" vertical="center"/>
    </xf>
    <xf numFmtId="3" fontId="17" fillId="5" borderId="1" xfId="0" applyNumberFormat="1" applyFont="1" applyFill="1" applyBorder="1"/>
    <xf numFmtId="0" fontId="8" fillId="5" borderId="1" xfId="0" applyFont="1" applyFill="1" applyBorder="1" applyAlignment="1">
      <alignment horizontal="justify" vertical="center" wrapText="1"/>
    </xf>
    <xf numFmtId="0" fontId="8" fillId="6" borderId="1" xfId="0" applyFont="1" applyFill="1" applyBorder="1" applyAlignment="1">
      <alignment horizontal="justify" vertical="center" wrapText="1"/>
    </xf>
    <xf numFmtId="0" fontId="8" fillId="6" borderId="1" xfId="0" applyFont="1" applyFill="1" applyBorder="1" applyAlignment="1">
      <alignment horizontal="left" vertical="center" wrapText="1"/>
    </xf>
    <xf numFmtId="3" fontId="17" fillId="6" borderId="1" xfId="0" applyNumberFormat="1" applyFont="1" applyFill="1" applyBorder="1" applyAlignment="1">
      <alignment horizontal="right" wrapText="1"/>
    </xf>
    <xf numFmtId="3" fontId="17" fillId="6" borderId="1" xfId="0" applyNumberFormat="1" applyFont="1" applyFill="1" applyBorder="1"/>
    <xf numFmtId="0" fontId="7" fillId="6" borderId="1" xfId="0" applyFont="1" applyFill="1" applyBorder="1" applyAlignment="1">
      <alignment horizontal="justify" vertical="center" wrapText="1"/>
    </xf>
    <xf numFmtId="3" fontId="17" fillId="6" borderId="1" xfId="0" applyNumberFormat="1" applyFont="1" applyFill="1" applyBorder="1" applyAlignment="1">
      <alignment horizontal="right" vertical="center" wrapText="1"/>
    </xf>
    <xf numFmtId="0" fontId="17" fillId="7" borderId="1" xfId="0" applyFont="1" applyFill="1" applyBorder="1"/>
    <xf numFmtId="3" fontId="17" fillId="7" borderId="1" xfId="0" applyNumberFormat="1" applyFont="1" applyFill="1" applyBorder="1"/>
    <xf numFmtId="0" fontId="22" fillId="7" borderId="1" xfId="0" applyFont="1" applyFill="1" applyBorder="1"/>
    <xf numFmtId="0" fontId="7" fillId="7" borderId="1" xfId="0" applyFont="1" applyFill="1" applyBorder="1"/>
    <xf numFmtId="0" fontId="7" fillId="0" borderId="0" xfId="0" applyFont="1"/>
    <xf numFmtId="3" fontId="23" fillId="0" borderId="0" xfId="0" applyNumberFormat="1" applyFont="1"/>
    <xf numFmtId="0" fontId="7" fillId="5" borderId="1" xfId="0" applyFont="1" applyFill="1" applyBorder="1" applyAlignment="1">
      <alignment wrapText="1"/>
    </xf>
    <xf numFmtId="166" fontId="22" fillId="0" borderId="0" xfId="0" applyNumberFormat="1" applyFont="1"/>
    <xf numFmtId="0" fontId="6" fillId="0" borderId="0" xfId="0" applyFont="1"/>
    <xf numFmtId="0" fontId="5" fillId="5" borderId="1" xfId="0" applyFont="1" applyFill="1" applyBorder="1" applyAlignment="1">
      <alignment wrapText="1"/>
    </xf>
    <xf numFmtId="3" fontId="10" fillId="5" borderId="1" xfId="0" applyNumberFormat="1" applyFont="1" applyFill="1" applyBorder="1"/>
    <xf numFmtId="0" fontId="22" fillId="5" borderId="1" xfId="0" applyFont="1" applyFill="1" applyBorder="1" applyAlignment="1">
      <alignment wrapText="1"/>
    </xf>
    <xf numFmtId="0" fontId="22" fillId="5" borderId="1" xfId="0" applyFont="1" applyFill="1" applyBorder="1"/>
    <xf numFmtId="0" fontId="5" fillId="0" borderId="1" xfId="0" applyFont="1" applyBorder="1"/>
    <xf numFmtId="0" fontId="5" fillId="5" borderId="1" xfId="0" applyFont="1" applyFill="1" applyBorder="1"/>
    <xf numFmtId="0" fontId="5" fillId="0" borderId="0" xfId="0" applyFont="1"/>
    <xf numFmtId="3" fontId="22" fillId="5" borderId="1" xfId="0" applyNumberFormat="1" applyFont="1" applyFill="1" applyBorder="1"/>
    <xf numFmtId="0" fontId="17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22" fillId="7" borderId="0" xfId="0" applyFont="1" applyFill="1"/>
    <xf numFmtId="3" fontId="22" fillId="7" borderId="1" xfId="0" applyNumberFormat="1" applyFont="1" applyFill="1" applyBorder="1"/>
    <xf numFmtId="0" fontId="24" fillId="7" borderId="1" xfId="0" applyFont="1" applyFill="1" applyBorder="1" applyAlignment="1">
      <alignment wrapText="1"/>
    </xf>
    <xf numFmtId="0" fontId="14" fillId="7" borderId="1" xfId="0" applyFont="1" applyFill="1" applyBorder="1"/>
    <xf numFmtId="0" fontId="5" fillId="7" borderId="1" xfId="0" applyFont="1" applyFill="1" applyBorder="1"/>
    <xf numFmtId="0" fontId="23" fillId="0" borderId="0" xfId="0" applyFont="1" applyAlignment="1">
      <alignment wrapText="1"/>
    </xf>
    <xf numFmtId="0" fontId="32" fillId="0" borderId="0" xfId="0" applyFont="1" applyAlignment="1">
      <alignment wrapText="1"/>
    </xf>
    <xf numFmtId="0" fontId="0" fillId="0" borderId="11" xfId="0" applyBorder="1" applyAlignment="1">
      <alignment wrapText="1"/>
    </xf>
    <xf numFmtId="0" fontId="22" fillId="0" borderId="0" xfId="0" applyFont="1" applyAlignment="1">
      <alignment horizontal="right"/>
    </xf>
    <xf numFmtId="3" fontId="5" fillId="7" borderId="1" xfId="0" applyNumberFormat="1" applyFont="1" applyFill="1" applyBorder="1"/>
    <xf numFmtId="0" fontId="4" fillId="0" borderId="1" xfId="0" applyFont="1" applyBorder="1"/>
    <xf numFmtId="3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19" fillId="8" borderId="6" xfId="0" applyFont="1" applyFill="1" applyBorder="1" applyAlignment="1">
      <alignment vertical="top" wrapText="1"/>
    </xf>
    <xf numFmtId="0" fontId="0" fillId="8" borderId="0" xfId="0" applyFill="1"/>
    <xf numFmtId="0" fontId="26" fillId="8" borderId="0" xfId="0" applyFont="1" applyFill="1"/>
    <xf numFmtId="0" fontId="20" fillId="0" borderId="29" xfId="0" applyFont="1" applyBorder="1"/>
    <xf numFmtId="0" fontId="20" fillId="0" borderId="33" xfId="0" applyFont="1" applyBorder="1" applyAlignment="1">
      <alignment wrapText="1"/>
    </xf>
    <xf numFmtId="3" fontId="20" fillId="0" borderId="33" xfId="0" applyNumberFormat="1" applyFont="1" applyBorder="1"/>
    <xf numFmtId="3" fontId="20" fillId="0" borderId="34" xfId="0" applyNumberFormat="1" applyFont="1" applyBorder="1"/>
    <xf numFmtId="0" fontId="0" fillId="8" borderId="3" xfId="0" applyFill="1" applyBorder="1"/>
    <xf numFmtId="0" fontId="0" fillId="8" borderId="35" xfId="0" applyFill="1" applyBorder="1"/>
    <xf numFmtId="0" fontId="0" fillId="8" borderId="36" xfId="0" applyFill="1" applyBorder="1"/>
    <xf numFmtId="0" fontId="0" fillId="0" borderId="30" xfId="0" applyBorder="1"/>
    <xf numFmtId="0" fontId="22" fillId="0" borderId="27" xfId="0" applyFont="1" applyBorder="1" applyAlignment="1">
      <alignment wrapText="1"/>
    </xf>
    <xf numFmtId="3" fontId="25" fillId="4" borderId="27" xfId="0" applyNumberFormat="1" applyFont="1" applyFill="1" applyBorder="1"/>
    <xf numFmtId="0" fontId="22" fillId="0" borderId="6" xfId="0" applyFont="1" applyBorder="1"/>
    <xf numFmtId="0" fontId="22" fillId="0" borderId="7" xfId="0" applyFont="1" applyBorder="1"/>
    <xf numFmtId="0" fontId="22" fillId="0" borderId="8" xfId="0" applyFont="1" applyBorder="1"/>
    <xf numFmtId="0" fontId="22" fillId="0" borderId="30" xfId="0" applyFont="1" applyBorder="1"/>
    <xf numFmtId="0" fontId="22" fillId="0" borderId="7" xfId="0" applyFont="1" applyBorder="1" applyAlignment="1">
      <alignment wrapText="1"/>
    </xf>
    <xf numFmtId="3" fontId="22" fillId="0" borderId="7" xfId="0" applyNumberFormat="1" applyFont="1" applyBorder="1"/>
    <xf numFmtId="3" fontId="22" fillId="0" borderId="8" xfId="0" applyNumberFormat="1" applyFont="1" applyBorder="1"/>
    <xf numFmtId="3" fontId="22" fillId="0" borderId="19" xfId="0" applyNumberFormat="1" applyFont="1" applyBorder="1"/>
    <xf numFmtId="3" fontId="22" fillId="0" borderId="6" xfId="0" applyNumberFormat="1" applyFont="1" applyBorder="1"/>
    <xf numFmtId="0" fontId="0" fillId="8" borderId="30" xfId="0" applyFill="1" applyBorder="1"/>
    <xf numFmtId="0" fontId="26" fillId="8" borderId="31" xfId="0" applyFont="1" applyFill="1" applyBorder="1"/>
    <xf numFmtId="0" fontId="26" fillId="8" borderId="32" xfId="0" applyFont="1" applyFill="1" applyBorder="1"/>
    <xf numFmtId="0" fontId="0" fillId="2" borderId="7" xfId="0" applyFill="1" applyBorder="1" applyAlignment="1">
      <alignment vertical="top" wrapText="1"/>
    </xf>
    <xf numFmtId="164" fontId="0" fillId="2" borderId="19" xfId="1" applyFont="1" applyFill="1" applyBorder="1" applyAlignment="1">
      <alignment vertical="top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/>
    <xf numFmtId="0" fontId="3" fillId="0" borderId="1" xfId="0" applyFont="1" applyBorder="1"/>
    <xf numFmtId="0" fontId="0" fillId="0" borderId="21" xfId="0" applyBorder="1"/>
    <xf numFmtId="3" fontId="27" fillId="0" borderId="5" xfId="0" applyNumberFormat="1" applyFont="1" applyBorder="1"/>
    <xf numFmtId="3" fontId="27" fillId="0" borderId="14" xfId="0" applyNumberFormat="1" applyFont="1" applyBorder="1"/>
    <xf numFmtId="0" fontId="0" fillId="0" borderId="26" xfId="0" applyBorder="1"/>
    <xf numFmtId="0" fontId="0" fillId="0" borderId="40" xfId="0" applyBorder="1"/>
    <xf numFmtId="0" fontId="0" fillId="0" borderId="17" xfId="0" applyBorder="1"/>
    <xf numFmtId="0" fontId="0" fillId="0" borderId="38" xfId="0" applyBorder="1"/>
    <xf numFmtId="0" fontId="0" fillId="0" borderId="41" xfId="0" applyBorder="1"/>
    <xf numFmtId="3" fontId="0" fillId="0" borderId="17" xfId="0" applyNumberFormat="1" applyBorder="1"/>
    <xf numFmtId="0" fontId="0" fillId="0" borderId="42" xfId="0" applyBorder="1"/>
    <xf numFmtId="3" fontId="0" fillId="0" borderId="42" xfId="0" applyNumberFormat="1" applyBorder="1"/>
    <xf numFmtId="3" fontId="27" fillId="0" borderId="42" xfId="0" applyNumberFormat="1" applyFont="1" applyBorder="1"/>
    <xf numFmtId="0" fontId="0" fillId="0" borderId="44" xfId="0" applyBorder="1"/>
    <xf numFmtId="0" fontId="0" fillId="0" borderId="45" xfId="0" applyBorder="1"/>
    <xf numFmtId="0" fontId="0" fillId="0" borderId="43" xfId="0" applyBorder="1"/>
    <xf numFmtId="0" fontId="0" fillId="0" borderId="39" xfId="0" applyBorder="1"/>
    <xf numFmtId="3" fontId="0" fillId="0" borderId="39" xfId="0" applyNumberFormat="1" applyBorder="1"/>
    <xf numFmtId="3" fontId="25" fillId="0" borderId="6" xfId="0" applyNumberFormat="1" applyFont="1" applyBorder="1"/>
    <xf numFmtId="3" fontId="25" fillId="0" borderId="7" xfId="0" applyNumberFormat="1" applyFont="1" applyBorder="1"/>
    <xf numFmtId="3" fontId="25" fillId="0" borderId="8" xfId="0" applyNumberFormat="1" applyFont="1" applyBorder="1"/>
    <xf numFmtId="0" fontId="0" fillId="0" borderId="47" xfId="0" applyBorder="1"/>
    <xf numFmtId="3" fontId="25" fillId="0" borderId="48" xfId="0" applyNumberFormat="1" applyFont="1" applyBorder="1"/>
    <xf numFmtId="0" fontId="0" fillId="0" borderId="49" xfId="0" applyBorder="1"/>
    <xf numFmtId="0" fontId="0" fillId="0" borderId="46" xfId="0" applyBorder="1"/>
    <xf numFmtId="0" fontId="0" fillId="0" borderId="50" xfId="0" applyBorder="1"/>
    <xf numFmtId="3" fontId="0" fillId="0" borderId="51" xfId="0" applyNumberFormat="1" applyBorder="1"/>
    <xf numFmtId="3" fontId="0" fillId="0" borderId="52" xfId="0" applyNumberFormat="1" applyBorder="1"/>
    <xf numFmtId="0" fontId="22" fillId="0" borderId="48" xfId="0" applyFont="1" applyBorder="1" applyAlignment="1">
      <alignment wrapText="1"/>
    </xf>
    <xf numFmtId="0" fontId="3" fillId="0" borderId="0" xfId="0" applyFont="1"/>
    <xf numFmtId="0" fontId="33" fillId="0" borderId="0" xfId="0" applyFont="1"/>
    <xf numFmtId="0" fontId="2" fillId="0" borderId="0" xfId="0" applyFont="1"/>
    <xf numFmtId="0" fontId="0" fillId="0" borderId="23" xfId="0" applyBorder="1"/>
    <xf numFmtId="0" fontId="0" fillId="0" borderId="4" xfId="0" applyBorder="1" applyAlignment="1">
      <alignment wrapText="1"/>
    </xf>
    <xf numFmtId="3" fontId="0" fillId="0" borderId="37" xfId="0" applyNumberFormat="1" applyBorder="1"/>
    <xf numFmtId="3" fontId="27" fillId="0" borderId="37" xfId="0" applyNumberFormat="1" applyFont="1" applyBorder="1"/>
    <xf numFmtId="3" fontId="27" fillId="0" borderId="23" xfId="0" applyNumberFormat="1" applyFont="1" applyBorder="1"/>
    <xf numFmtId="3" fontId="27" fillId="0" borderId="4" xfId="0" applyNumberFormat="1" applyFont="1" applyBorder="1"/>
    <xf numFmtId="3" fontId="27" fillId="0" borderId="24" xfId="0" applyNumberFormat="1" applyFont="1" applyBorder="1"/>
    <xf numFmtId="0" fontId="26" fillId="8" borderId="19" xfId="0" applyFont="1" applyFill="1" applyBorder="1" applyAlignment="1">
      <alignment vertical="top" wrapText="1"/>
    </xf>
    <xf numFmtId="0" fontId="26" fillId="0" borderId="31" xfId="0" applyFont="1" applyBorder="1" applyAlignment="1">
      <alignment vertical="top"/>
    </xf>
    <xf numFmtId="0" fontId="26" fillId="0" borderId="32" xfId="0" applyFont="1" applyBorder="1" applyAlignment="1">
      <alignment vertical="top"/>
    </xf>
    <xf numFmtId="0" fontId="26" fillId="8" borderId="0" xfId="0" applyFont="1" applyFill="1" applyAlignment="1">
      <alignment wrapText="1"/>
    </xf>
    <xf numFmtId="0" fontId="0" fillId="0" borderId="0" xfId="0"/>
    <xf numFmtId="0" fontId="26" fillId="8" borderId="35" xfId="0" applyFont="1" applyFill="1" applyBorder="1" applyAlignment="1">
      <alignment wrapText="1"/>
    </xf>
    <xf numFmtId="0" fontId="26" fillId="0" borderId="35" xfId="0" applyFont="1" applyBorder="1"/>
    <xf numFmtId="166" fontId="1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69"/>
  <sheetViews>
    <sheetView tabSelected="1" topLeftCell="B1" zoomScale="90" zoomScaleNormal="90" workbookViewId="0">
      <pane ySplit="3" topLeftCell="A4" activePane="bottomLeft" state="frozen"/>
      <selection pane="bottomLeft" activeCell="K8" sqref="K8"/>
    </sheetView>
  </sheetViews>
  <sheetFormatPr defaultRowHeight="14.5" x14ac:dyDescent="0.35"/>
  <cols>
    <col min="1" max="1" width="6.26953125" hidden="1" customWidth="1"/>
    <col min="2" max="2" width="17.26953125" customWidth="1"/>
    <col min="3" max="3" width="28.7265625" style="1" customWidth="1"/>
    <col min="4" max="4" width="12" customWidth="1"/>
    <col min="5" max="5" width="11.81640625" customWidth="1"/>
    <col min="6" max="6" width="9.7265625" customWidth="1"/>
    <col min="7" max="7" width="13.26953125" customWidth="1"/>
    <col min="8" max="8" width="13.81640625" customWidth="1"/>
    <col min="9" max="9" width="13.1796875" customWidth="1"/>
    <col min="10" max="10" width="11.7265625" customWidth="1"/>
    <col min="11" max="11" width="10.7265625" customWidth="1"/>
    <col min="12" max="12" width="14.453125" customWidth="1"/>
    <col min="13" max="13" width="10.26953125" customWidth="1"/>
    <col min="14" max="14" width="11.1796875" customWidth="1"/>
    <col min="15" max="15" width="9.1796875" customWidth="1"/>
    <col min="16" max="16" width="10.54296875" customWidth="1"/>
    <col min="17" max="17" width="29.81640625" hidden="1" customWidth="1"/>
    <col min="18" max="18" width="14.7265625" hidden="1" customWidth="1"/>
    <col min="19" max="19" width="24.7265625" hidden="1" customWidth="1"/>
    <col min="20" max="20" width="30.26953125" customWidth="1"/>
  </cols>
  <sheetData>
    <row r="1" spans="1:20" ht="21" x14ac:dyDescent="0.5">
      <c r="B1" s="61" t="s">
        <v>133</v>
      </c>
    </row>
    <row r="2" spans="1:20" ht="15" thickBot="1" x14ac:dyDescent="0.4"/>
    <row r="3" spans="1:20" ht="92.25" customHeight="1" thickBot="1" x14ac:dyDescent="0.4">
      <c r="A3" t="s">
        <v>3</v>
      </c>
      <c r="B3" s="139" t="s">
        <v>0</v>
      </c>
      <c r="C3" s="231" t="s">
        <v>1</v>
      </c>
      <c r="D3" s="232" t="s">
        <v>2</v>
      </c>
      <c r="E3" s="140">
        <v>2026</v>
      </c>
      <c r="F3" s="140">
        <v>2027</v>
      </c>
      <c r="G3" s="140">
        <v>2028</v>
      </c>
      <c r="H3" s="140">
        <v>2029</v>
      </c>
      <c r="I3" s="141">
        <v>2030</v>
      </c>
      <c r="J3" s="141">
        <v>2031</v>
      </c>
      <c r="K3" s="141">
        <v>2032</v>
      </c>
      <c r="L3" s="141">
        <v>2033</v>
      </c>
      <c r="M3" s="141">
        <v>2034</v>
      </c>
      <c r="N3" s="141">
        <v>2035</v>
      </c>
      <c r="O3" s="141">
        <v>2036</v>
      </c>
      <c r="P3" s="142">
        <v>2037</v>
      </c>
      <c r="Q3" s="8"/>
      <c r="S3" s="91" t="s">
        <v>49</v>
      </c>
    </row>
    <row r="4" spans="1:20" ht="21.5" thickBot="1" x14ac:dyDescent="0.55000000000000004">
      <c r="B4" s="228"/>
      <c r="C4" s="229" t="s">
        <v>123</v>
      </c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30"/>
      <c r="Q4" s="8"/>
      <c r="S4" s="91"/>
    </row>
    <row r="5" spans="1:20" ht="20.25" customHeight="1" x14ac:dyDescent="0.35">
      <c r="A5" s="4">
        <v>2</v>
      </c>
      <c r="B5" s="156" t="s">
        <v>18</v>
      </c>
      <c r="C5" s="44" t="str">
        <f>'AS Paide Vesi - Tööde mahud'!B4</f>
        <v>Aravete ÜVK laiendamine</v>
      </c>
      <c r="D5" s="84">
        <f>'AS Paide Vesi - Tööde mahud'!F20</f>
        <v>1001385</v>
      </c>
      <c r="E5" s="48"/>
      <c r="F5" s="49"/>
      <c r="G5" s="49"/>
      <c r="H5" s="56"/>
      <c r="I5" s="48">
        <f>D5</f>
        <v>1001385</v>
      </c>
      <c r="J5" s="50"/>
      <c r="K5" s="50"/>
      <c r="L5" s="50"/>
      <c r="M5" s="50"/>
      <c r="N5" s="50"/>
      <c r="O5" s="50"/>
      <c r="P5" s="51"/>
      <c r="R5" s="58">
        <f>SUM(E5:Q5)</f>
        <v>1001385</v>
      </c>
      <c r="S5" s="92" t="s">
        <v>42</v>
      </c>
    </row>
    <row r="6" spans="1:20" ht="16.5" customHeight="1" x14ac:dyDescent="0.35">
      <c r="A6" s="4"/>
      <c r="B6" s="148" t="s">
        <v>19</v>
      </c>
      <c r="C6" s="45" t="str">
        <f>'AS Paide Vesi - Tööde mahud'!B22</f>
        <v>Käravete ÜVK laiendamine</v>
      </c>
      <c r="D6" s="85">
        <f>'AS Paide Vesi - Tööde mahud'!F29</f>
        <v>302060</v>
      </c>
      <c r="E6" s="52"/>
      <c r="F6" s="3"/>
      <c r="G6" s="3"/>
      <c r="H6" s="53"/>
      <c r="I6" s="54"/>
      <c r="J6" s="3"/>
      <c r="K6" s="3">
        <f>D6</f>
        <v>302060</v>
      </c>
      <c r="L6" s="2"/>
      <c r="M6" s="2"/>
      <c r="N6" s="2"/>
      <c r="O6" s="2"/>
      <c r="P6" s="53"/>
      <c r="Q6" s="55"/>
      <c r="R6" s="58">
        <f t="shared" ref="R6:S13" si="0">SUM(E6:Q6)</f>
        <v>302060</v>
      </c>
      <c r="S6" s="92" t="s">
        <v>43</v>
      </c>
    </row>
    <row r="7" spans="1:20" x14ac:dyDescent="0.35">
      <c r="B7" s="148" t="s">
        <v>20</v>
      </c>
      <c r="C7" s="45" t="str">
        <f>'AS Paide Vesi - Tööde mahud'!B31</f>
        <v>Ambla ÜVK laiendamine</v>
      </c>
      <c r="D7" s="85">
        <f>'AS Paide Vesi - Tööde mahud'!F48</f>
        <v>927410</v>
      </c>
      <c r="E7" s="54"/>
      <c r="F7" s="3">
        <f>D7*0.5</f>
        <v>463705</v>
      </c>
      <c r="G7" s="3">
        <f>D7-F7</f>
        <v>463705</v>
      </c>
      <c r="H7" s="57"/>
      <c r="I7" s="52"/>
      <c r="J7" s="2"/>
      <c r="K7" s="2"/>
      <c r="L7" s="2"/>
      <c r="M7" s="2"/>
      <c r="N7" s="2"/>
      <c r="O7" s="2"/>
      <c r="P7" s="53"/>
      <c r="R7" s="58">
        <f t="shared" si="0"/>
        <v>927410</v>
      </c>
      <c r="S7" s="91" t="s">
        <v>44</v>
      </c>
      <c r="T7" s="265"/>
    </row>
    <row r="8" spans="1:20" ht="43.5" x14ac:dyDescent="0.35">
      <c r="B8" s="148" t="s">
        <v>21</v>
      </c>
      <c r="C8" s="45" t="str">
        <f>'AS Paide Vesi - Tööde mahud'!B50</f>
        <v>Peetri aleviku ÜVK rekonstrueerimine ja laiendamine</v>
      </c>
      <c r="D8" s="86">
        <f>'AS Paide Vesi - Tööde mahud'!F58</f>
        <v>244202.5</v>
      </c>
      <c r="E8" s="105"/>
      <c r="F8" s="63"/>
      <c r="G8" s="63"/>
      <c r="H8" s="62"/>
      <c r="I8" s="54"/>
      <c r="J8" s="72"/>
      <c r="K8" s="63"/>
      <c r="L8" s="72">
        <f>D8</f>
        <v>244202.5</v>
      </c>
      <c r="M8" s="63"/>
      <c r="N8" s="63"/>
      <c r="O8" s="63"/>
      <c r="P8" s="62"/>
      <c r="R8" s="58">
        <f t="shared" si="0"/>
        <v>244202.5</v>
      </c>
      <c r="S8" s="92" t="s">
        <v>45</v>
      </c>
    </row>
    <row r="9" spans="1:20" ht="43.5" x14ac:dyDescent="0.35">
      <c r="A9" s="4"/>
      <c r="B9" s="148" t="s">
        <v>23</v>
      </c>
      <c r="C9" s="45" t="str">
        <f>'AS Paide Vesi - Tööde mahud'!B60</f>
        <v>Kodunurme 1 ja 2 reoveepumplate rekonstrueerimine</v>
      </c>
      <c r="D9" s="85">
        <f>'AS Paide Vesi - Tööde mahud'!F60</f>
        <v>60000</v>
      </c>
      <c r="E9" s="52"/>
      <c r="F9" s="3"/>
      <c r="G9" s="3">
        <f>D9</f>
        <v>60000</v>
      </c>
      <c r="H9" s="57"/>
      <c r="I9" s="52"/>
      <c r="J9" s="3"/>
      <c r="K9" s="3"/>
      <c r="L9" s="3"/>
      <c r="M9" s="3"/>
      <c r="N9" s="3"/>
      <c r="O9" s="3"/>
      <c r="P9" s="53"/>
      <c r="R9" s="58">
        <f t="shared" si="0"/>
        <v>60000</v>
      </c>
      <c r="S9" s="92" t="s">
        <v>47</v>
      </c>
    </row>
    <row r="10" spans="1:20" ht="43.5" x14ac:dyDescent="0.35">
      <c r="A10" s="4"/>
      <c r="B10" s="148" t="s">
        <v>24</v>
      </c>
      <c r="C10" s="46" t="str">
        <f>'AS Paide Vesi - Tööde mahud'!B62</f>
        <v>Käsukonna reoveepuhasti, biotiikide ja reoveepumpla rekonstrueerimine</v>
      </c>
      <c r="D10" s="85">
        <f>'AS Paide Vesi - Tööde mahud'!F75</f>
        <v>272800</v>
      </c>
      <c r="E10" s="52"/>
      <c r="F10" s="3"/>
      <c r="H10" s="3">
        <f>D10</f>
        <v>272800</v>
      </c>
      <c r="I10" s="54"/>
      <c r="J10" s="3"/>
      <c r="K10" s="3"/>
      <c r="L10" s="2"/>
      <c r="M10" s="2"/>
      <c r="N10" s="2"/>
      <c r="O10" s="2"/>
      <c r="P10" s="53"/>
      <c r="R10" s="58">
        <f t="shared" si="0"/>
        <v>272800</v>
      </c>
      <c r="S10" s="92" t="s">
        <v>48</v>
      </c>
    </row>
    <row r="11" spans="1:20" ht="43.5" x14ac:dyDescent="0.35">
      <c r="A11" s="4"/>
      <c r="B11" s="130" t="s">
        <v>25</v>
      </c>
      <c r="C11" s="94" t="str">
        <f>'AS Paide Vesi - Tööde mahud'!B77</f>
        <v>Koigi ÜVK rekonstrueerimine (Roheline tn), mudamahuti paigaldamine reoveepuhastisse</v>
      </c>
      <c r="D11" s="68">
        <f>'AS Paide Vesi - Tööde mahud'!F83</f>
        <v>30470</v>
      </c>
      <c r="E11" s="131">
        <f>D11</f>
        <v>30470</v>
      </c>
      <c r="F11" s="70"/>
      <c r="G11" s="70"/>
      <c r="H11" s="71"/>
      <c r="I11" s="131"/>
      <c r="J11" s="69"/>
      <c r="K11" s="69"/>
      <c r="L11" s="69"/>
      <c r="M11" s="70"/>
      <c r="N11" s="70"/>
      <c r="O11" s="70"/>
      <c r="P11" s="71"/>
      <c r="R11" s="58">
        <f t="shared" si="0"/>
        <v>30470</v>
      </c>
      <c r="S11" s="58">
        <f t="shared" si="0"/>
        <v>30470</v>
      </c>
    </row>
    <row r="12" spans="1:20" ht="29" x14ac:dyDescent="0.35">
      <c r="A12" s="4"/>
      <c r="B12" s="130" t="s">
        <v>25</v>
      </c>
      <c r="C12" s="94" t="str">
        <f>'AS Paide Vesi - Tööde mahud'!B85</f>
        <v>Survekanalisatsioonitorustiku rekonstrueerimine</v>
      </c>
      <c r="D12" s="68">
        <f>'AS Paide Vesi - Tööde mahud'!F88</f>
        <v>73755</v>
      </c>
      <c r="E12" s="131"/>
      <c r="F12" s="70"/>
      <c r="G12" s="70"/>
      <c r="H12" s="71"/>
      <c r="I12" s="131"/>
      <c r="J12" s="69">
        <f>D12</f>
        <v>73755</v>
      </c>
      <c r="K12" s="69"/>
      <c r="L12" s="69"/>
      <c r="M12" s="70"/>
      <c r="N12" s="70"/>
      <c r="O12" s="70"/>
      <c r="P12" s="71"/>
      <c r="R12" s="58">
        <f t="shared" si="0"/>
        <v>73755</v>
      </c>
      <c r="S12" s="92"/>
    </row>
    <row r="13" spans="1:20" ht="44" thickBot="1" x14ac:dyDescent="0.4">
      <c r="A13" s="4"/>
      <c r="B13" s="130" t="s">
        <v>78</v>
      </c>
      <c r="C13" s="129" t="str">
        <f>'AS Paide Vesi - Tööde mahud'!B91</f>
        <v>Ühiskanalisatsiooni rekonstrueerimine Kirsi tn piirkonnas</v>
      </c>
      <c r="D13" s="128">
        <f>'AS Paide Vesi - Tööde mahud'!F95</f>
        <v>52800</v>
      </c>
      <c r="E13" s="123"/>
      <c r="F13" s="157"/>
      <c r="G13" s="157"/>
      <c r="H13" s="127"/>
      <c r="I13" s="123"/>
      <c r="J13" s="124"/>
      <c r="K13" s="124"/>
      <c r="L13" s="124">
        <f>D13</f>
        <v>52800</v>
      </c>
      <c r="M13" s="157"/>
      <c r="N13" s="157"/>
      <c r="O13" s="157"/>
      <c r="P13" s="127"/>
      <c r="R13" s="58">
        <f t="shared" si="0"/>
        <v>52800</v>
      </c>
      <c r="S13" s="92"/>
    </row>
    <row r="14" spans="1:20" s="7" customFormat="1" ht="15" thickBot="1" x14ac:dyDescent="0.4">
      <c r="A14" s="6"/>
      <c r="B14" s="160" t="s">
        <v>4</v>
      </c>
      <c r="C14" s="161"/>
      <c r="D14" s="159">
        <f>SUM(D5:D13)</f>
        <v>2964882.5</v>
      </c>
      <c r="E14" s="158">
        <f>SUM(E5:E11)</f>
        <v>30470</v>
      </c>
      <c r="F14" s="154">
        <f>SUM(F5:F11)</f>
        <v>463705</v>
      </c>
      <c r="G14" s="154">
        <f>SUM(G5:G11)</f>
        <v>523705</v>
      </c>
      <c r="H14" s="154">
        <f t="shared" ref="H14:K14" si="1">SUM(H5:H13)</f>
        <v>272800</v>
      </c>
      <c r="I14" s="154">
        <f t="shared" si="1"/>
        <v>1001385</v>
      </c>
      <c r="J14" s="154">
        <f t="shared" si="1"/>
        <v>73755</v>
      </c>
      <c r="K14" s="154">
        <f t="shared" si="1"/>
        <v>302060</v>
      </c>
      <c r="L14" s="154">
        <f>SUM(L5:L13)</f>
        <v>297002.5</v>
      </c>
      <c r="M14" s="154">
        <f>SUM(M5:M11)</f>
        <v>0</v>
      </c>
      <c r="N14" s="154">
        <f>SUM(N5:N11)</f>
        <v>0</v>
      </c>
      <c r="O14" s="154">
        <f>SUM(O5:O11)</f>
        <v>0</v>
      </c>
      <c r="P14" s="155">
        <f>SUM(P5:P11)</f>
        <v>0</v>
      </c>
      <c r="Q14" s="59">
        <f>SUM(E14:P14)</f>
        <v>2964882.5</v>
      </c>
      <c r="R14" s="59">
        <f>SUM(R5:R13)</f>
        <v>2964882.5</v>
      </c>
    </row>
    <row r="15" spans="1:20" ht="21.5" thickBot="1" x14ac:dyDescent="0.4">
      <c r="B15" s="206"/>
      <c r="C15" s="275" t="s">
        <v>124</v>
      </c>
      <c r="D15" s="276"/>
      <c r="E15" s="276"/>
      <c r="F15" s="276"/>
      <c r="G15" s="276"/>
      <c r="H15" s="276"/>
      <c r="I15" s="276"/>
      <c r="J15" s="276"/>
      <c r="K15" s="276"/>
      <c r="L15" s="276"/>
      <c r="M15" s="276"/>
      <c r="N15" s="276"/>
      <c r="O15" s="276"/>
      <c r="P15" s="277"/>
    </row>
    <row r="16" spans="1:20" x14ac:dyDescent="0.35">
      <c r="B16" s="47" t="s">
        <v>26</v>
      </c>
      <c r="C16" s="44" t="str">
        <f>'AS Järva Haldus - Tööde mahud'!B4</f>
        <v>Koeru ÜVK rekonstrueerimine</v>
      </c>
      <c r="D16" s="84">
        <f>'AS Järva Haldus - Tööde mahud'!F9</f>
        <v>153812.5</v>
      </c>
      <c r="E16" s="48"/>
      <c r="F16" s="49"/>
      <c r="G16" s="95"/>
      <c r="H16" s="56">
        <f>D16</f>
        <v>153812.5</v>
      </c>
      <c r="I16" s="126"/>
      <c r="J16" s="50"/>
      <c r="K16" s="50"/>
      <c r="L16" s="50"/>
      <c r="M16" s="50"/>
      <c r="N16" s="50"/>
      <c r="O16" s="50"/>
      <c r="P16" s="51"/>
    </row>
    <row r="17" spans="1:19" ht="29" x14ac:dyDescent="0.35">
      <c r="B17" s="5" t="s">
        <v>26</v>
      </c>
      <c r="C17" s="45" t="str">
        <f>'AS Järva Haldus - Tööde mahud'!B11</f>
        <v>Koeru ÜVK laiendamine (Kaera tn, Raja tn)</v>
      </c>
      <c r="D17" s="85">
        <f>'AS Järva Haldus - Tööde mahud'!F16</f>
        <v>109767.5</v>
      </c>
      <c r="E17" s="52"/>
      <c r="F17" s="3"/>
      <c r="G17" s="96"/>
      <c r="H17" s="53"/>
      <c r="I17" s="54"/>
      <c r="J17" s="3">
        <f>D17</f>
        <v>109767.5</v>
      </c>
      <c r="L17" s="2"/>
      <c r="M17" s="2"/>
      <c r="N17" s="2"/>
      <c r="O17" s="2"/>
      <c r="P17" s="53"/>
    </row>
    <row r="18" spans="1:19" ht="29" x14ac:dyDescent="0.35">
      <c r="B18" s="5" t="s">
        <v>27</v>
      </c>
      <c r="C18" s="45" t="str">
        <f>'AS Järva Haldus - Tööde mahud'!B18</f>
        <v>Veetorustiku rekonstrueerimine (Pikk tn)</v>
      </c>
      <c r="D18" s="85">
        <f>'AS Järva Haldus - Tööde mahud'!F22</f>
        <v>33637.5</v>
      </c>
      <c r="E18" s="120">
        <f>D18</f>
        <v>33637.5</v>
      </c>
      <c r="F18" s="3"/>
      <c r="G18" s="3"/>
      <c r="H18" s="53"/>
      <c r="I18" s="54"/>
      <c r="J18" s="2"/>
      <c r="K18" s="2"/>
      <c r="L18" s="2"/>
      <c r="M18" s="2"/>
      <c r="N18" s="2"/>
      <c r="O18" s="2"/>
      <c r="P18" s="53"/>
    </row>
    <row r="19" spans="1:19" ht="58" x14ac:dyDescent="0.35">
      <c r="B19" s="5" t="s">
        <v>27</v>
      </c>
      <c r="C19" s="45" t="str">
        <f>'AS Järva Haldus - Tööde mahud'!B24</f>
        <v>Reoveepumplate RP-Kultuurimaja, RP-Konserv, RP-Jaama, RP-Kalda, RP-Pargi ja RP-Pikk rekonstrueerimine</v>
      </c>
      <c r="D19" s="85">
        <f>'AS Järva Haldus - Tööde mahud'!F24</f>
        <v>180000</v>
      </c>
      <c r="E19" s="120"/>
      <c r="F19" s="3"/>
      <c r="G19" s="3"/>
      <c r="H19" s="53"/>
      <c r="I19" s="54"/>
      <c r="J19" s="2"/>
      <c r="K19" s="3">
        <f>D19</f>
        <v>180000</v>
      </c>
      <c r="L19" s="2"/>
      <c r="M19" s="2"/>
      <c r="N19" s="4"/>
      <c r="O19" s="2"/>
      <c r="P19" s="53"/>
    </row>
    <row r="20" spans="1:19" x14ac:dyDescent="0.35">
      <c r="B20" s="5" t="s">
        <v>27</v>
      </c>
      <c r="C20" s="45" t="str">
        <f>'AS Järva Haldus - Tööde mahud'!B26</f>
        <v>Purgla uuendamine</v>
      </c>
      <c r="D20" s="85">
        <f>'AS Järva Haldus - Tööde mahud'!F32</f>
        <v>99000</v>
      </c>
      <c r="E20" s="120"/>
      <c r="F20" s="3"/>
      <c r="G20" s="3">
        <f>D20</f>
        <v>99000</v>
      </c>
      <c r="H20" s="237"/>
      <c r="I20" s="54"/>
      <c r="J20" s="2"/>
      <c r="K20" s="3"/>
      <c r="L20" s="2"/>
      <c r="M20" s="2"/>
      <c r="N20" s="4"/>
      <c r="O20" s="2"/>
      <c r="P20" s="53"/>
    </row>
    <row r="21" spans="1:19" x14ac:dyDescent="0.35">
      <c r="B21" s="5" t="s">
        <v>28</v>
      </c>
      <c r="C21" s="45" t="str">
        <f>'AS Järva Haldus - Tööde mahud'!B34</f>
        <v>Vao ÜVK rekonstrueerimine</v>
      </c>
      <c r="D21" s="85">
        <f>'AS Järva Haldus - Tööde mahud'!F39</f>
        <v>218500</v>
      </c>
      <c r="E21" s="54"/>
      <c r="F21" s="2"/>
      <c r="G21" s="2"/>
      <c r="H21" s="121"/>
      <c r="I21" s="52"/>
      <c r="J21" s="3"/>
      <c r="K21" s="3"/>
      <c r="L21" s="3"/>
      <c r="M21" s="3"/>
      <c r="N21" s="96">
        <f>D21</f>
        <v>218500</v>
      </c>
      <c r="O21" s="2"/>
      <c r="P21" s="53"/>
    </row>
    <row r="22" spans="1:19" ht="29" x14ac:dyDescent="0.35">
      <c r="B22" s="5" t="s">
        <v>28</v>
      </c>
      <c r="C22" s="45" t="str">
        <f>'AS Järva Haldus - Tööde mahud'!B41</f>
        <v>Vao ÜVK laiendamine (Tamme teel, Mõisapargi teel ja Veski pst)</v>
      </c>
      <c r="D22" s="85">
        <f>'AS Järva Haldus - Tööde mahud'!F48</f>
        <v>372427.5</v>
      </c>
      <c r="E22" s="54"/>
      <c r="F22" s="2"/>
      <c r="G22" s="96"/>
      <c r="H22" s="57"/>
      <c r="I22" s="52"/>
      <c r="J22" s="3"/>
      <c r="K22" s="2"/>
      <c r="L22" s="2"/>
      <c r="M22" s="3"/>
      <c r="N22" s="3">
        <f>D22*0.2</f>
        <v>74485.5</v>
      </c>
      <c r="O22" s="3">
        <f>D22-N22</f>
        <v>297942</v>
      </c>
      <c r="P22" s="53"/>
    </row>
    <row r="23" spans="1:19" ht="43.5" x14ac:dyDescent="0.35">
      <c r="B23" s="5" t="s">
        <v>29</v>
      </c>
      <c r="C23" s="45" t="str">
        <f>'AS Järva Haldus - Tööde mahud'!B50</f>
        <v>Ervita küla kanalisatsioonivõrgu rekonstrueerimine ja laiendamine Väinjärve teel</v>
      </c>
      <c r="D23" s="86">
        <f>'AS Järva Haldus - Tööde mahud'!F57</f>
        <v>448730</v>
      </c>
      <c r="E23" s="105"/>
      <c r="F23" s="72">
        <f>D23*0.25</f>
        <v>112182.5</v>
      </c>
      <c r="G23" s="72">
        <f>D23-F23</f>
        <v>336547.5</v>
      </c>
      <c r="H23" s="53"/>
      <c r="I23" s="54"/>
      <c r="J23" s="72"/>
      <c r="K23" s="72"/>
      <c r="L23" s="72"/>
      <c r="M23" s="72"/>
      <c r="N23" s="72"/>
      <c r="O23" s="63"/>
      <c r="P23" s="62"/>
    </row>
    <row r="24" spans="1:19" ht="29" x14ac:dyDescent="0.35">
      <c r="B24" s="5" t="s">
        <v>54</v>
      </c>
      <c r="C24" s="45" t="str">
        <f>'AS Järva Haldus - Tööde mahud'!B59</f>
        <v>Karinu reovee Järva-Jaani reoveepuhastile suunamine</v>
      </c>
      <c r="D24" s="86">
        <f>'AS Järva Haldus - Tööde mahud'!F65</f>
        <v>557750</v>
      </c>
      <c r="E24" s="105">
        <f>D24*0.05</f>
        <v>27887.5</v>
      </c>
      <c r="F24" s="72"/>
      <c r="G24" s="72"/>
      <c r="H24" s="57">
        <f>D24*0.3</f>
        <v>167325</v>
      </c>
      <c r="I24" s="52">
        <f>D24-E24-H24</f>
        <v>362537.5</v>
      </c>
      <c r="J24" s="72"/>
      <c r="K24" s="72"/>
      <c r="L24" s="72"/>
      <c r="M24" s="72"/>
      <c r="N24" s="72"/>
      <c r="O24" s="63"/>
      <c r="P24" s="62"/>
    </row>
    <row r="25" spans="1:19" x14ac:dyDescent="0.35">
      <c r="B25" s="5" t="s">
        <v>30</v>
      </c>
      <c r="C25" s="45" t="str">
        <f>'AS Järva Haldus - Tööde mahud'!B67</f>
        <v>Ahula ÜVK rekonstrueerimine</v>
      </c>
      <c r="D25" s="87">
        <f>'AS Järva Haldus - Tööde mahud'!F73</f>
        <v>70955</v>
      </c>
      <c r="E25" s="52">
        <f>D25</f>
        <v>70955</v>
      </c>
      <c r="F25" s="3"/>
      <c r="G25" s="3"/>
      <c r="H25" s="57"/>
      <c r="I25" s="52"/>
      <c r="J25" s="3"/>
      <c r="K25" s="3"/>
      <c r="L25" s="3"/>
      <c r="M25" s="2"/>
      <c r="N25" s="2"/>
      <c r="O25" s="2"/>
      <c r="P25" s="53"/>
    </row>
    <row r="26" spans="1:19" ht="29" x14ac:dyDescent="0.35">
      <c r="B26" s="93" t="s">
        <v>57</v>
      </c>
      <c r="C26" s="94" t="str">
        <f>'AS Järva Haldus - Tööde mahud'!B76</f>
        <v>Reovee peapumpla rekonstrueerimine</v>
      </c>
      <c r="D26" s="68">
        <f>'AS Järva Haldus - Tööde mahud'!F76</f>
        <v>35000</v>
      </c>
      <c r="E26" s="131"/>
      <c r="F26" s="69"/>
      <c r="G26" s="69">
        <f>D26</f>
        <v>35000</v>
      </c>
      <c r="H26" s="132"/>
      <c r="I26" s="131"/>
      <c r="J26" s="69"/>
      <c r="K26" s="69"/>
      <c r="L26" s="69"/>
      <c r="M26" s="69"/>
      <c r="N26" s="69"/>
      <c r="O26" s="69"/>
      <c r="P26" s="71"/>
    </row>
    <row r="27" spans="1:19" ht="29.5" thickBot="1" x14ac:dyDescent="0.4">
      <c r="B27" s="133" t="s">
        <v>57</v>
      </c>
      <c r="C27" s="129" t="str">
        <f>'AS Järva Haldus - Tööde mahud'!B78</f>
        <v xml:space="preserve">Albu reoveepuhasti rekonstrueerimine </v>
      </c>
      <c r="D27" s="128">
        <f>'AS Järva Haldus - Tööde mahud'!F78</f>
        <v>200000</v>
      </c>
      <c r="E27" s="123"/>
      <c r="F27" s="124"/>
      <c r="G27" s="124"/>
      <c r="H27" s="125"/>
      <c r="I27" s="123"/>
      <c r="J27" s="124"/>
      <c r="K27" s="124">
        <f>D27*0.2</f>
        <v>40000</v>
      </c>
      <c r="L27" s="124">
        <f>D27-K27</f>
        <v>160000</v>
      </c>
      <c r="M27" s="124"/>
      <c r="N27" s="124"/>
      <c r="O27" s="124"/>
      <c r="P27" s="127"/>
    </row>
    <row r="28" spans="1:19" x14ac:dyDescent="0.35">
      <c r="B28" s="209" t="s">
        <v>4</v>
      </c>
      <c r="C28" s="210"/>
      <c r="D28" s="211">
        <f>SUM(D16:D27)</f>
        <v>2479580</v>
      </c>
      <c r="E28" s="212">
        <f>SUM(E16:E27)</f>
        <v>132480</v>
      </c>
      <c r="F28" s="212">
        <f t="shared" ref="F28:P28" si="2">SUM(F16:F27)</f>
        <v>112182.5</v>
      </c>
      <c r="G28" s="212">
        <f>SUM(G16:G27)</f>
        <v>470547.5</v>
      </c>
      <c r="H28" s="212">
        <f t="shared" si="2"/>
        <v>321137.5</v>
      </c>
      <c r="I28" s="212">
        <f t="shared" si="2"/>
        <v>362537.5</v>
      </c>
      <c r="J28" s="212">
        <f t="shared" si="2"/>
        <v>109767.5</v>
      </c>
      <c r="K28" s="212">
        <f t="shared" si="2"/>
        <v>220000</v>
      </c>
      <c r="L28" s="212">
        <f t="shared" si="2"/>
        <v>160000</v>
      </c>
      <c r="M28" s="212">
        <f t="shared" si="2"/>
        <v>0</v>
      </c>
      <c r="N28" s="212">
        <f t="shared" si="2"/>
        <v>292985.5</v>
      </c>
      <c r="O28" s="212">
        <f t="shared" si="2"/>
        <v>297942</v>
      </c>
      <c r="P28" s="212">
        <f t="shared" si="2"/>
        <v>0</v>
      </c>
    </row>
    <row r="29" spans="1:19" ht="21" x14ac:dyDescent="0.5">
      <c r="A29" s="4"/>
      <c r="B29" s="213"/>
      <c r="C29" s="280" t="s">
        <v>139</v>
      </c>
      <c r="D29" s="281"/>
      <c r="E29" s="281"/>
      <c r="F29" s="281"/>
      <c r="G29" s="281"/>
      <c r="H29" s="281"/>
      <c r="I29" s="281"/>
      <c r="J29" s="281"/>
      <c r="K29" s="281"/>
      <c r="L29" s="281"/>
      <c r="M29" s="214"/>
      <c r="N29" s="214"/>
      <c r="O29" s="214"/>
      <c r="P29" s="215"/>
    </row>
    <row r="30" spans="1:19" ht="48.5" customHeight="1" x14ac:dyDescent="0.35">
      <c r="A30" s="4"/>
      <c r="B30" s="148" t="s">
        <v>22</v>
      </c>
      <c r="C30" s="45" t="str">
        <f>'AS Paide Vesi - Tööde mahud'!B100</f>
        <v>Jõgisoo kasutusest väljajäänud pumplahoone ja reoveepuhasti lammutamine</v>
      </c>
      <c r="D30" s="238">
        <f>'AS Paide Vesi - Tööde mahud'!F103</f>
        <v>25000</v>
      </c>
      <c r="E30" s="52"/>
      <c r="F30" s="3"/>
      <c r="G30" s="3"/>
      <c r="H30" s="239"/>
      <c r="I30" s="52">
        <f>D30</f>
        <v>25000</v>
      </c>
      <c r="J30" s="2"/>
      <c r="K30" s="2"/>
      <c r="L30" s="3"/>
      <c r="M30" s="2"/>
      <c r="N30" s="2"/>
      <c r="O30" s="2"/>
      <c r="P30" s="53"/>
      <c r="R30" s="67"/>
      <c r="S30" s="92" t="s">
        <v>46</v>
      </c>
    </row>
    <row r="31" spans="1:19" ht="29.5" thickBot="1" x14ac:dyDescent="0.4">
      <c r="B31" s="130" t="s">
        <v>114</v>
      </c>
      <c r="C31" s="94" t="str">
        <f>'AS Paide Vesi - Tööde mahud'!B104</f>
        <v>Likvideerida pumpla ja tamponeerida puurkaev 6466</v>
      </c>
      <c r="D31" s="68">
        <f>'AS Paide Vesi - Tööde mahud'!F104</f>
        <v>10000</v>
      </c>
      <c r="E31" s="240"/>
      <c r="F31" s="70"/>
      <c r="G31" s="70"/>
      <c r="H31" s="132">
        <f>D31</f>
        <v>10000</v>
      </c>
      <c r="I31" s="240"/>
      <c r="J31" s="70"/>
      <c r="K31" s="70"/>
      <c r="L31" s="70"/>
      <c r="M31" s="70"/>
      <c r="N31" s="70"/>
      <c r="O31" s="70"/>
      <c r="P31" s="71"/>
    </row>
    <row r="32" spans="1:19" ht="29.5" thickBot="1" x14ac:dyDescent="0.4">
      <c r="A32" s="4"/>
      <c r="B32" s="216"/>
      <c r="C32" s="217" t="s">
        <v>126</v>
      </c>
      <c r="D32" s="218">
        <f>D30+D31</f>
        <v>35000</v>
      </c>
      <c r="E32" s="219">
        <f t="shared" ref="E32:P32" si="3">SUM(E30:E31)</f>
        <v>0</v>
      </c>
      <c r="F32" s="220">
        <f t="shared" si="3"/>
        <v>0</v>
      </c>
      <c r="G32" s="220">
        <f t="shared" si="3"/>
        <v>0</v>
      </c>
      <c r="H32" s="221">
        <f t="shared" si="3"/>
        <v>10000</v>
      </c>
      <c r="I32" s="219">
        <f t="shared" si="3"/>
        <v>25000</v>
      </c>
      <c r="J32" s="220">
        <f t="shared" si="3"/>
        <v>0</v>
      </c>
      <c r="K32" s="220">
        <f t="shared" si="3"/>
        <v>0</v>
      </c>
      <c r="L32" s="220">
        <f t="shared" si="3"/>
        <v>0</v>
      </c>
      <c r="M32" s="220">
        <f t="shared" si="3"/>
        <v>0</v>
      </c>
      <c r="N32" s="220">
        <f t="shared" si="3"/>
        <v>0</v>
      </c>
      <c r="O32" s="220">
        <f t="shared" si="3"/>
        <v>0</v>
      </c>
      <c r="P32" s="221">
        <f t="shared" si="3"/>
        <v>0</v>
      </c>
    </row>
    <row r="33" spans="2:21" ht="21.5" thickBot="1" x14ac:dyDescent="0.55000000000000004">
      <c r="B33" s="207"/>
      <c r="C33" s="208" t="s">
        <v>138</v>
      </c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</row>
    <row r="34" spans="2:21" ht="24.75" customHeight="1" x14ac:dyDescent="0.35">
      <c r="B34" s="156" t="s">
        <v>18</v>
      </c>
      <c r="C34" s="44" t="s">
        <v>82</v>
      </c>
      <c r="D34" s="262">
        <f>SUM(E34:P34)</f>
        <v>30000</v>
      </c>
      <c r="E34" s="241"/>
      <c r="F34" s="50"/>
      <c r="G34" s="50"/>
      <c r="H34" s="51"/>
      <c r="I34" s="241"/>
      <c r="J34" s="49">
        <v>30000</v>
      </c>
      <c r="K34" s="50"/>
      <c r="L34" s="50"/>
      <c r="M34" s="50"/>
      <c r="N34" s="50"/>
      <c r="O34" s="50"/>
      <c r="P34" s="51"/>
      <c r="T34" s="8"/>
      <c r="U34" s="8"/>
    </row>
    <row r="35" spans="2:21" x14ac:dyDescent="0.35">
      <c r="B35" s="259" t="s">
        <v>29</v>
      </c>
      <c r="C35" s="45" t="s">
        <v>82</v>
      </c>
      <c r="D35" s="121">
        <f t="shared" ref="D35:D51" si="4">SUM(E35:P35)</f>
        <v>30000</v>
      </c>
      <c r="E35" s="244"/>
      <c r="F35" s="242"/>
      <c r="G35" s="242"/>
      <c r="H35" s="243"/>
      <c r="I35" s="244"/>
      <c r="J35" s="245"/>
      <c r="K35" s="242">
        <v>30000</v>
      </c>
      <c r="L35" s="242"/>
      <c r="M35" s="242"/>
      <c r="N35" s="242"/>
      <c r="O35" s="242"/>
      <c r="P35" s="243"/>
      <c r="U35" s="8"/>
    </row>
    <row r="36" spans="2:21" x14ac:dyDescent="0.35">
      <c r="B36" s="259" t="s">
        <v>147</v>
      </c>
      <c r="C36" s="45" t="s">
        <v>82</v>
      </c>
      <c r="D36" s="121">
        <f t="shared" si="4"/>
        <v>30000</v>
      </c>
      <c r="E36" s="244">
        <v>30000</v>
      </c>
      <c r="F36" s="242"/>
      <c r="G36" s="242"/>
      <c r="H36" s="243"/>
      <c r="I36" s="244"/>
      <c r="J36" s="245"/>
      <c r="K36" s="242"/>
      <c r="L36" s="242"/>
      <c r="M36" s="242"/>
      <c r="N36" s="242"/>
      <c r="O36" s="242"/>
      <c r="P36" s="243"/>
    </row>
    <row r="37" spans="2:21" ht="29" x14ac:dyDescent="0.35">
      <c r="B37" s="148" t="s">
        <v>19</v>
      </c>
      <c r="C37" s="45" t="s">
        <v>117</v>
      </c>
      <c r="D37" s="121">
        <f t="shared" si="4"/>
        <v>15000</v>
      </c>
      <c r="E37" s="247"/>
      <c r="F37" s="2">
        <v>15000</v>
      </c>
      <c r="G37" s="2"/>
      <c r="H37" s="53"/>
      <c r="I37" s="246"/>
      <c r="J37" s="2"/>
      <c r="K37" s="2"/>
      <c r="L37" s="2"/>
      <c r="M37" s="2"/>
      <c r="N37" s="2"/>
      <c r="O37" s="2"/>
      <c r="P37" s="53"/>
      <c r="U37" s="266"/>
    </row>
    <row r="38" spans="2:21" x14ac:dyDescent="0.35">
      <c r="B38" s="148" t="s">
        <v>20</v>
      </c>
      <c r="C38" s="45" t="s">
        <v>82</v>
      </c>
      <c r="D38" s="121">
        <f t="shared" si="4"/>
        <v>30000</v>
      </c>
      <c r="E38" s="247"/>
      <c r="F38" s="2"/>
      <c r="G38" s="2"/>
      <c r="H38" s="53"/>
      <c r="I38" s="246">
        <v>30000</v>
      </c>
      <c r="J38" s="2"/>
      <c r="K38" s="2"/>
      <c r="L38" s="2"/>
      <c r="M38" s="2"/>
      <c r="N38" s="2"/>
      <c r="O38" s="2"/>
      <c r="P38" s="53"/>
      <c r="U38" s="266"/>
    </row>
    <row r="39" spans="2:21" x14ac:dyDescent="0.35">
      <c r="B39" s="148" t="s">
        <v>22</v>
      </c>
      <c r="C39" s="45" t="s">
        <v>82</v>
      </c>
      <c r="D39" s="121">
        <f t="shared" si="4"/>
        <v>30000</v>
      </c>
      <c r="E39" s="247"/>
      <c r="F39" s="3"/>
      <c r="G39" s="2"/>
      <c r="H39" s="239"/>
      <c r="I39" s="247">
        <v>30000</v>
      </c>
      <c r="J39" s="2"/>
      <c r="K39" s="2"/>
      <c r="L39" s="3"/>
      <c r="M39" s="2"/>
      <c r="N39" s="2"/>
      <c r="O39" s="2"/>
      <c r="P39" s="53"/>
      <c r="R39" s="67"/>
      <c r="S39" s="92"/>
      <c r="U39" s="8"/>
    </row>
    <row r="40" spans="2:21" x14ac:dyDescent="0.35">
      <c r="B40" s="148" t="s">
        <v>21</v>
      </c>
      <c r="C40" s="45" t="s">
        <v>82</v>
      </c>
      <c r="D40" s="121">
        <f t="shared" si="4"/>
        <v>30000</v>
      </c>
      <c r="E40" s="247"/>
      <c r="F40" s="2"/>
      <c r="G40" s="3">
        <v>30000</v>
      </c>
      <c r="H40" s="239"/>
      <c r="I40" s="246"/>
      <c r="J40" s="2"/>
      <c r="K40" s="2"/>
      <c r="L40" s="3"/>
      <c r="M40" s="2"/>
      <c r="N40" s="2"/>
      <c r="O40" s="2"/>
      <c r="P40" s="53"/>
      <c r="R40" s="67"/>
      <c r="S40" s="92"/>
      <c r="U40" s="8"/>
    </row>
    <row r="41" spans="2:21" x14ac:dyDescent="0.35">
      <c r="B41" s="148" t="s">
        <v>23</v>
      </c>
      <c r="C41" s="45" t="s">
        <v>82</v>
      </c>
      <c r="D41" s="121">
        <f t="shared" si="4"/>
        <v>30000</v>
      </c>
      <c r="E41" s="247"/>
      <c r="F41" s="3"/>
      <c r="G41" s="3"/>
      <c r="H41" s="239"/>
      <c r="I41" s="246"/>
      <c r="J41" s="2"/>
      <c r="K41" s="3">
        <v>30000</v>
      </c>
      <c r="L41" s="3"/>
      <c r="M41" s="2"/>
      <c r="N41" s="2"/>
      <c r="O41" s="2"/>
      <c r="P41" s="53"/>
      <c r="R41" s="67"/>
      <c r="S41" s="92"/>
      <c r="U41" s="8"/>
    </row>
    <row r="42" spans="2:21" ht="29" x14ac:dyDescent="0.35">
      <c r="B42" s="148" t="s">
        <v>23</v>
      </c>
      <c r="C42" s="45" t="s">
        <v>148</v>
      </c>
      <c r="D42" s="121">
        <f t="shared" si="4"/>
        <v>45000</v>
      </c>
      <c r="E42" s="246">
        <v>15000</v>
      </c>
      <c r="F42" s="3"/>
      <c r="G42" s="3"/>
      <c r="H42" s="239">
        <v>30000</v>
      </c>
      <c r="I42" s="247"/>
      <c r="J42" s="2"/>
      <c r="K42" s="2"/>
      <c r="L42" s="3"/>
      <c r="M42" s="2"/>
      <c r="N42" s="2"/>
      <c r="O42" s="2"/>
      <c r="P42" s="53"/>
      <c r="R42" s="67"/>
      <c r="S42" s="92"/>
      <c r="U42" s="8"/>
    </row>
    <row r="43" spans="2:21" ht="43.5" x14ac:dyDescent="0.35">
      <c r="B43" s="148" t="s">
        <v>24</v>
      </c>
      <c r="C43" s="45" t="s">
        <v>81</v>
      </c>
      <c r="D43" s="121">
        <f>SUM(F43:P43)</f>
        <v>30000</v>
      </c>
      <c r="E43" s="246"/>
      <c r="F43" s="2">
        <v>30000</v>
      </c>
      <c r="G43" s="2"/>
      <c r="H43" s="53"/>
      <c r="I43" s="246"/>
      <c r="J43" s="2"/>
      <c r="K43" s="2"/>
      <c r="L43" s="2"/>
      <c r="M43" s="2"/>
      <c r="N43" s="2"/>
      <c r="O43" s="2"/>
      <c r="P43" s="53"/>
      <c r="U43" s="266"/>
    </row>
    <row r="44" spans="2:21" x14ac:dyDescent="0.35">
      <c r="B44" s="148" t="s">
        <v>113</v>
      </c>
      <c r="C44" s="45" t="s">
        <v>82</v>
      </c>
      <c r="D44" s="121">
        <f t="shared" si="4"/>
        <v>30000</v>
      </c>
      <c r="E44" s="246"/>
      <c r="F44" s="2"/>
      <c r="G44" s="3">
        <v>30000</v>
      </c>
      <c r="H44" s="53"/>
      <c r="I44" s="246"/>
      <c r="J44" s="2"/>
      <c r="K44" s="2"/>
      <c r="L44" s="2"/>
      <c r="M44" s="2"/>
      <c r="N44" s="2"/>
      <c r="O44" s="2"/>
      <c r="P44" s="53"/>
      <c r="U44" s="8"/>
    </row>
    <row r="45" spans="2:21" x14ac:dyDescent="0.35">
      <c r="B45" s="148" t="s">
        <v>114</v>
      </c>
      <c r="C45" s="45" t="s">
        <v>82</v>
      </c>
      <c r="D45" s="121">
        <f t="shared" si="4"/>
        <v>30000</v>
      </c>
      <c r="E45" s="246"/>
      <c r="F45" s="2"/>
      <c r="G45" s="2"/>
      <c r="H45" s="57"/>
      <c r="I45" s="246"/>
      <c r="J45" s="2"/>
      <c r="K45" s="2"/>
      <c r="L45" s="2"/>
      <c r="M45" s="57">
        <v>30000</v>
      </c>
      <c r="N45" s="2"/>
      <c r="O45" s="2"/>
      <c r="P45" s="53"/>
      <c r="U45" s="8"/>
    </row>
    <row r="46" spans="2:21" x14ac:dyDescent="0.35">
      <c r="B46" s="148" t="s">
        <v>26</v>
      </c>
      <c r="C46" s="45" t="s">
        <v>150</v>
      </c>
      <c r="D46" s="121">
        <f t="shared" si="4"/>
        <v>60000</v>
      </c>
      <c r="E46" s="247"/>
      <c r="F46" s="3"/>
      <c r="G46" s="2"/>
      <c r="H46" s="57"/>
      <c r="I46" s="246"/>
      <c r="J46" s="2"/>
      <c r="K46" s="2"/>
      <c r="L46" s="3">
        <v>30000</v>
      </c>
      <c r="M46" s="57">
        <v>30000</v>
      </c>
      <c r="N46" s="2"/>
      <c r="O46" s="2"/>
      <c r="P46" s="53"/>
      <c r="U46" s="8"/>
    </row>
    <row r="47" spans="2:21" ht="29" x14ac:dyDescent="0.35">
      <c r="B47" s="148" t="s">
        <v>26</v>
      </c>
      <c r="C47" s="45" t="s">
        <v>148</v>
      </c>
      <c r="D47" s="121">
        <f t="shared" si="4"/>
        <v>15000</v>
      </c>
      <c r="E47" s="247">
        <v>15000</v>
      </c>
      <c r="F47" s="3"/>
      <c r="G47" s="3"/>
      <c r="H47" s="239"/>
      <c r="I47" s="246"/>
      <c r="J47" s="2"/>
      <c r="K47" s="2"/>
      <c r="L47" s="3"/>
      <c r="M47" s="2"/>
      <c r="N47" s="2"/>
      <c r="O47" s="2"/>
      <c r="P47" s="53"/>
      <c r="U47" s="8"/>
    </row>
    <row r="48" spans="2:21" x14ac:dyDescent="0.35">
      <c r="B48" s="148" t="s">
        <v>28</v>
      </c>
      <c r="C48" s="45" t="s">
        <v>82</v>
      </c>
      <c r="D48" s="121">
        <f>SUM(E48:P48)</f>
        <v>30000</v>
      </c>
      <c r="E48" s="246"/>
      <c r="F48" s="3"/>
      <c r="G48" s="2"/>
      <c r="H48" s="53"/>
      <c r="I48" s="246"/>
      <c r="J48" s="2">
        <v>30000</v>
      </c>
      <c r="K48" s="2"/>
      <c r="L48" s="3"/>
      <c r="M48" s="2"/>
      <c r="N48" s="2"/>
      <c r="O48" s="2"/>
      <c r="P48" s="53"/>
      <c r="U48" s="8"/>
    </row>
    <row r="49" spans="1:21" ht="16.5" customHeight="1" x14ac:dyDescent="0.35">
      <c r="B49" s="260" t="s">
        <v>25</v>
      </c>
      <c r="C49" s="45" t="s">
        <v>150</v>
      </c>
      <c r="D49" s="121">
        <f>SUM(E49:P49)</f>
        <v>30000</v>
      </c>
      <c r="E49" s="248"/>
      <c r="F49" s="248"/>
      <c r="G49" s="3"/>
      <c r="H49" s="239">
        <v>30000</v>
      </c>
      <c r="I49" s="247"/>
      <c r="J49" s="2"/>
      <c r="K49" s="2"/>
      <c r="L49" s="3"/>
      <c r="M49" s="70"/>
      <c r="N49" s="70"/>
      <c r="O49" s="70"/>
      <c r="P49" s="71"/>
      <c r="U49" s="8"/>
    </row>
    <row r="50" spans="1:21" ht="29" x14ac:dyDescent="0.35">
      <c r="B50" s="260" t="s">
        <v>149</v>
      </c>
      <c r="C50" s="45" t="s">
        <v>148</v>
      </c>
      <c r="D50" s="121">
        <f t="shared" si="4"/>
        <v>15000</v>
      </c>
      <c r="E50" s="247"/>
      <c r="F50" s="3">
        <v>15000</v>
      </c>
      <c r="G50" s="3"/>
      <c r="H50" s="239"/>
      <c r="I50" s="247"/>
      <c r="J50" s="2"/>
      <c r="K50" s="2"/>
      <c r="L50" s="3"/>
      <c r="M50" s="70"/>
      <c r="N50" s="70"/>
      <c r="O50" s="70"/>
      <c r="P50" s="71"/>
      <c r="U50" s="8"/>
    </row>
    <row r="51" spans="1:21" ht="15" thickBot="1" x14ac:dyDescent="0.4">
      <c r="B51" s="261" t="s">
        <v>57</v>
      </c>
      <c r="C51" s="129" t="s">
        <v>82</v>
      </c>
      <c r="D51" s="263">
        <f t="shared" si="4"/>
        <v>30000</v>
      </c>
      <c r="E51" s="257"/>
      <c r="F51" s="249"/>
      <c r="G51" s="249"/>
      <c r="H51" s="250"/>
      <c r="I51" s="251"/>
      <c r="K51" s="252"/>
      <c r="L51" s="253">
        <v>30000</v>
      </c>
      <c r="M51" s="70"/>
      <c r="N51" s="70"/>
      <c r="O51" s="70"/>
      <c r="P51" s="71"/>
      <c r="U51" s="8"/>
    </row>
    <row r="52" spans="1:21" ht="29.5" thickBot="1" x14ac:dyDescent="0.4">
      <c r="A52" s="4"/>
      <c r="B52" s="222" t="s">
        <v>132</v>
      </c>
      <c r="C52" s="264" t="s">
        <v>125</v>
      </c>
      <c r="D52" s="258">
        <f t="shared" ref="D52:P52" si="5">SUM(D34:D51)</f>
        <v>540000</v>
      </c>
      <c r="E52" s="254">
        <f t="shared" si="5"/>
        <v>60000</v>
      </c>
      <c r="F52" s="255">
        <f t="shared" si="5"/>
        <v>60000</v>
      </c>
      <c r="G52" s="255">
        <f t="shared" si="5"/>
        <v>60000</v>
      </c>
      <c r="H52" s="256">
        <f t="shared" si="5"/>
        <v>60000</v>
      </c>
      <c r="I52" s="254">
        <f t="shared" si="5"/>
        <v>60000</v>
      </c>
      <c r="J52" s="255">
        <f t="shared" si="5"/>
        <v>60000</v>
      </c>
      <c r="K52" s="255">
        <f t="shared" si="5"/>
        <v>60000</v>
      </c>
      <c r="L52" s="255">
        <f t="shared" si="5"/>
        <v>60000</v>
      </c>
      <c r="M52" s="255">
        <f t="shared" si="5"/>
        <v>60000</v>
      </c>
      <c r="N52" s="255">
        <f t="shared" si="5"/>
        <v>0</v>
      </c>
      <c r="O52" s="255">
        <f t="shared" si="5"/>
        <v>0</v>
      </c>
      <c r="P52" s="256">
        <f t="shared" si="5"/>
        <v>0</v>
      </c>
    </row>
    <row r="53" spans="1:21" ht="21.5" thickBot="1" x14ac:dyDescent="0.55000000000000004">
      <c r="B53" s="208"/>
      <c r="C53" s="278" t="s">
        <v>140</v>
      </c>
      <c r="D53" s="279"/>
      <c r="E53" s="279"/>
      <c r="F53" s="279"/>
      <c r="G53" s="279"/>
      <c r="H53" s="208"/>
      <c r="I53" s="208"/>
      <c r="J53" s="208"/>
      <c r="K53" s="208"/>
      <c r="L53" s="208"/>
      <c r="M53" s="208"/>
      <c r="N53" s="208"/>
      <c r="O53" s="208"/>
      <c r="P53" s="208"/>
    </row>
    <row r="54" spans="1:21" x14ac:dyDescent="0.35">
      <c r="B54" s="126" t="s">
        <v>134</v>
      </c>
      <c r="C54" s="199"/>
      <c r="D54" s="95">
        <f t="shared" ref="D54:P54" si="6">D14</f>
        <v>2964882.5</v>
      </c>
      <c r="E54" s="48">
        <f t="shared" si="6"/>
        <v>30470</v>
      </c>
      <c r="F54" s="49">
        <f t="shared" si="6"/>
        <v>463705</v>
      </c>
      <c r="G54" s="49">
        <f t="shared" si="6"/>
        <v>523705</v>
      </c>
      <c r="H54" s="56">
        <f t="shared" si="6"/>
        <v>272800</v>
      </c>
      <c r="I54" s="48">
        <f t="shared" si="6"/>
        <v>1001385</v>
      </c>
      <c r="J54" s="49">
        <f t="shared" si="6"/>
        <v>73755</v>
      </c>
      <c r="K54" s="49">
        <f t="shared" si="6"/>
        <v>302060</v>
      </c>
      <c r="L54" s="49">
        <f t="shared" si="6"/>
        <v>297002.5</v>
      </c>
      <c r="M54" s="49">
        <f t="shared" si="6"/>
        <v>0</v>
      </c>
      <c r="N54" s="49">
        <f t="shared" si="6"/>
        <v>0</v>
      </c>
      <c r="O54" s="49">
        <f t="shared" si="6"/>
        <v>0</v>
      </c>
      <c r="P54" s="56">
        <f t="shared" si="6"/>
        <v>0</v>
      </c>
    </row>
    <row r="55" spans="1:21" x14ac:dyDescent="0.35">
      <c r="B55" s="54" t="s">
        <v>127</v>
      </c>
      <c r="C55" s="138"/>
      <c r="D55" s="96">
        <f>D54-D56</f>
        <v>1979882.5</v>
      </c>
      <c r="E55" s="52">
        <f t="shared" ref="E55:P55" si="7">E54-E56</f>
        <v>30470</v>
      </c>
      <c r="F55" s="3">
        <f>F54-F56</f>
        <v>398705</v>
      </c>
      <c r="G55" s="3">
        <f t="shared" si="7"/>
        <v>383705</v>
      </c>
      <c r="H55" s="57">
        <f t="shared" si="7"/>
        <v>122800</v>
      </c>
      <c r="I55" s="52">
        <f t="shared" si="7"/>
        <v>841385</v>
      </c>
      <c r="J55" s="3">
        <f t="shared" si="7"/>
        <v>-86245</v>
      </c>
      <c r="K55" s="3">
        <f t="shared" si="7"/>
        <v>152060</v>
      </c>
      <c r="L55" s="3">
        <f t="shared" si="7"/>
        <v>137002.5</v>
      </c>
      <c r="M55" s="3">
        <f t="shared" si="7"/>
        <v>0</v>
      </c>
      <c r="N55" s="3">
        <f t="shared" si="7"/>
        <v>0</v>
      </c>
      <c r="O55" s="3">
        <f t="shared" si="7"/>
        <v>0</v>
      </c>
      <c r="P55" s="57">
        <f t="shared" si="7"/>
        <v>0</v>
      </c>
    </row>
    <row r="56" spans="1:21" ht="15" thickBot="1" x14ac:dyDescent="0.4">
      <c r="B56" s="268" t="s">
        <v>128</v>
      </c>
      <c r="C56" s="269"/>
      <c r="D56" s="271">
        <f>SUM(E56:P56)</f>
        <v>985000</v>
      </c>
      <c r="E56" s="272">
        <v>0</v>
      </c>
      <c r="F56" s="273">
        <v>65000</v>
      </c>
      <c r="G56" s="273">
        <v>140000</v>
      </c>
      <c r="H56" s="274">
        <v>150000</v>
      </c>
      <c r="I56" s="272">
        <v>160000</v>
      </c>
      <c r="J56" s="272">
        <v>160000</v>
      </c>
      <c r="K56" s="272">
        <v>150000</v>
      </c>
      <c r="L56" s="272">
        <v>160000</v>
      </c>
      <c r="M56" s="273"/>
      <c r="N56" s="273"/>
      <c r="O56" s="273"/>
      <c r="P56" s="273"/>
    </row>
    <row r="57" spans="1:21" x14ac:dyDescent="0.35">
      <c r="B57" s="126" t="s">
        <v>135</v>
      </c>
      <c r="C57" s="199"/>
      <c r="D57" s="95">
        <f t="shared" ref="D57:P57" si="8">D28</f>
        <v>2479580</v>
      </c>
      <c r="E57" s="48">
        <f t="shared" si="8"/>
        <v>132480</v>
      </c>
      <c r="F57" s="49">
        <f t="shared" si="8"/>
        <v>112182.5</v>
      </c>
      <c r="G57" s="49">
        <f t="shared" si="8"/>
        <v>470547.5</v>
      </c>
      <c r="H57" s="56">
        <f t="shared" si="8"/>
        <v>321137.5</v>
      </c>
      <c r="I57" s="48">
        <f t="shared" si="8"/>
        <v>362537.5</v>
      </c>
      <c r="J57" s="49">
        <f t="shared" si="8"/>
        <v>109767.5</v>
      </c>
      <c r="K57" s="49">
        <f t="shared" si="8"/>
        <v>220000</v>
      </c>
      <c r="L57" s="49">
        <f t="shared" si="8"/>
        <v>160000</v>
      </c>
      <c r="M57" s="49">
        <f t="shared" si="8"/>
        <v>0</v>
      </c>
      <c r="N57" s="49">
        <f t="shared" si="8"/>
        <v>292985.5</v>
      </c>
      <c r="O57" s="49">
        <f t="shared" si="8"/>
        <v>297942</v>
      </c>
      <c r="P57" s="56">
        <f t="shared" si="8"/>
        <v>0</v>
      </c>
    </row>
    <row r="58" spans="1:21" x14ac:dyDescent="0.35">
      <c r="B58" s="54" t="s">
        <v>129</v>
      </c>
      <c r="C58" s="138"/>
      <c r="D58" s="96">
        <f>D57-D59</f>
        <v>2194580</v>
      </c>
      <c r="E58" s="52">
        <f t="shared" ref="E58:P58" si="9">E57-E59</f>
        <v>107480</v>
      </c>
      <c r="F58" s="3">
        <f t="shared" si="9"/>
        <v>87182.5</v>
      </c>
      <c r="G58" s="3">
        <f t="shared" si="9"/>
        <v>445547.5</v>
      </c>
      <c r="H58" s="57">
        <f t="shared" si="9"/>
        <v>291137.5</v>
      </c>
      <c r="I58" s="52">
        <f t="shared" si="9"/>
        <v>332537.5</v>
      </c>
      <c r="J58" s="3">
        <f t="shared" si="9"/>
        <v>79767.5</v>
      </c>
      <c r="K58" s="3">
        <f t="shared" si="9"/>
        <v>190000</v>
      </c>
      <c r="L58" s="3">
        <f t="shared" si="9"/>
        <v>130000</v>
      </c>
      <c r="M58" s="3">
        <f t="shared" si="9"/>
        <v>0</v>
      </c>
      <c r="N58" s="3">
        <f t="shared" si="9"/>
        <v>262985.5</v>
      </c>
      <c r="O58" s="3">
        <f t="shared" si="9"/>
        <v>267942</v>
      </c>
      <c r="P58" s="57">
        <f t="shared" si="9"/>
        <v>0</v>
      </c>
    </row>
    <row r="59" spans="1:21" ht="15" thickBot="1" x14ac:dyDescent="0.4">
      <c r="B59" s="268" t="s">
        <v>128</v>
      </c>
      <c r="C59" s="269"/>
      <c r="D59" s="270">
        <f>SUM(E59:P59)</f>
        <v>285000</v>
      </c>
      <c r="E59" s="123">
        <v>25000</v>
      </c>
      <c r="F59" s="124">
        <v>25000</v>
      </c>
      <c r="G59" s="124">
        <v>25000</v>
      </c>
      <c r="H59" s="125">
        <v>30000</v>
      </c>
      <c r="I59" s="123">
        <v>30000</v>
      </c>
      <c r="J59" s="124">
        <v>30000</v>
      </c>
      <c r="K59" s="124">
        <v>30000</v>
      </c>
      <c r="L59" s="124">
        <v>30000</v>
      </c>
      <c r="M59" s="124"/>
      <c r="N59" s="124">
        <v>30000</v>
      </c>
      <c r="O59" s="124">
        <v>30000</v>
      </c>
      <c r="P59" s="125"/>
    </row>
    <row r="60" spans="1:21" ht="15" thickBot="1" x14ac:dyDescent="0.4">
      <c r="B60" s="219" t="s">
        <v>136</v>
      </c>
      <c r="C60" s="223"/>
      <c r="D60" s="226">
        <f t="shared" ref="D60:P60" si="10">D54+D57</f>
        <v>5444462.5</v>
      </c>
      <c r="E60" s="227">
        <f t="shared" si="10"/>
        <v>162950</v>
      </c>
      <c r="F60" s="224">
        <f t="shared" si="10"/>
        <v>575887.5</v>
      </c>
      <c r="G60" s="224">
        <f t="shared" si="10"/>
        <v>994252.5</v>
      </c>
      <c r="H60" s="225">
        <f t="shared" si="10"/>
        <v>593937.5</v>
      </c>
      <c r="I60" s="227">
        <f t="shared" si="10"/>
        <v>1363922.5</v>
      </c>
      <c r="J60" s="224">
        <f t="shared" si="10"/>
        <v>183522.5</v>
      </c>
      <c r="K60" s="224">
        <f t="shared" si="10"/>
        <v>522060</v>
      </c>
      <c r="L60" s="224">
        <f t="shared" si="10"/>
        <v>457002.5</v>
      </c>
      <c r="M60" s="224">
        <f t="shared" si="10"/>
        <v>0</v>
      </c>
      <c r="N60" s="224">
        <f t="shared" si="10"/>
        <v>292985.5</v>
      </c>
      <c r="O60" s="224">
        <f t="shared" si="10"/>
        <v>297942</v>
      </c>
      <c r="P60" s="225">
        <f t="shared" si="10"/>
        <v>0</v>
      </c>
    </row>
    <row r="61" spans="1:21" s="10" customFormat="1" ht="15" thickBot="1" x14ac:dyDescent="0.4">
      <c r="B61" s="219" t="s">
        <v>131</v>
      </c>
      <c r="C61" s="223"/>
      <c r="D61" s="226">
        <f t="shared" ref="D61:P61" si="11">D32</f>
        <v>35000</v>
      </c>
      <c r="E61" s="226">
        <f t="shared" si="11"/>
        <v>0</v>
      </c>
      <c r="F61" s="226">
        <f t="shared" si="11"/>
        <v>0</v>
      </c>
      <c r="G61" s="226">
        <f t="shared" si="11"/>
        <v>0</v>
      </c>
      <c r="H61" s="226">
        <f t="shared" si="11"/>
        <v>10000</v>
      </c>
      <c r="I61" s="226">
        <f t="shared" si="11"/>
        <v>25000</v>
      </c>
      <c r="J61" s="226">
        <f t="shared" si="11"/>
        <v>0</v>
      </c>
      <c r="K61" s="226">
        <f t="shared" si="11"/>
        <v>0</v>
      </c>
      <c r="L61" s="226">
        <f t="shared" si="11"/>
        <v>0</v>
      </c>
      <c r="M61" s="226">
        <f t="shared" si="11"/>
        <v>0</v>
      </c>
      <c r="N61" s="226">
        <f t="shared" si="11"/>
        <v>0</v>
      </c>
      <c r="O61" s="226">
        <f t="shared" si="11"/>
        <v>0</v>
      </c>
      <c r="P61" s="226">
        <f t="shared" si="11"/>
        <v>0</v>
      </c>
    </row>
    <row r="62" spans="1:21" s="10" customFormat="1" ht="15" thickBot="1" x14ac:dyDescent="0.4">
      <c r="B62" s="219" t="s">
        <v>130</v>
      </c>
      <c r="C62" s="223"/>
      <c r="D62" s="226">
        <f>D52</f>
        <v>540000</v>
      </c>
      <c r="E62" s="227">
        <f t="shared" ref="E62:S62" si="12">E52</f>
        <v>60000</v>
      </c>
      <c r="F62" s="224">
        <f t="shared" si="12"/>
        <v>60000</v>
      </c>
      <c r="G62" s="224">
        <f t="shared" si="12"/>
        <v>60000</v>
      </c>
      <c r="H62" s="225">
        <f t="shared" si="12"/>
        <v>60000</v>
      </c>
      <c r="I62" s="227">
        <f t="shared" si="12"/>
        <v>60000</v>
      </c>
      <c r="J62" s="224">
        <f t="shared" si="12"/>
        <v>60000</v>
      </c>
      <c r="K62" s="224">
        <f t="shared" si="12"/>
        <v>60000</v>
      </c>
      <c r="L62" s="224">
        <f t="shared" si="12"/>
        <v>60000</v>
      </c>
      <c r="M62" s="224">
        <f t="shared" si="12"/>
        <v>60000</v>
      </c>
      <c r="N62" s="224">
        <f t="shared" si="12"/>
        <v>0</v>
      </c>
      <c r="O62" s="224">
        <f t="shared" si="12"/>
        <v>0</v>
      </c>
      <c r="P62" s="224">
        <f t="shared" si="12"/>
        <v>0</v>
      </c>
      <c r="Q62" s="224">
        <f t="shared" si="12"/>
        <v>0</v>
      </c>
      <c r="R62" s="224">
        <f t="shared" si="12"/>
        <v>0</v>
      </c>
      <c r="S62" s="224">
        <f t="shared" si="12"/>
        <v>0</v>
      </c>
    </row>
    <row r="63" spans="1:21" s="10" customFormat="1" ht="15" thickBot="1" x14ac:dyDescent="0.4">
      <c r="B63" s="219" t="s">
        <v>146</v>
      </c>
      <c r="C63" s="223"/>
      <c r="D63" s="226">
        <f>SUM(E63:P63)</f>
        <v>40000</v>
      </c>
      <c r="E63" s="227">
        <v>40000</v>
      </c>
      <c r="F63" s="224"/>
      <c r="G63" s="224"/>
      <c r="H63" s="225"/>
      <c r="I63" s="227"/>
      <c r="J63" s="224"/>
      <c r="K63" s="224"/>
      <c r="L63" s="224"/>
      <c r="M63" s="224"/>
      <c r="N63" s="224"/>
      <c r="O63" s="224"/>
      <c r="P63" s="225"/>
    </row>
    <row r="64" spans="1:21" s="10" customFormat="1" ht="15" thickBot="1" x14ac:dyDescent="0.4">
      <c r="B64" s="219" t="s">
        <v>145</v>
      </c>
      <c r="C64" s="223"/>
      <c r="D64" s="227">
        <f>D56+D59+D61+D62+D63</f>
        <v>1885000</v>
      </c>
      <c r="E64" s="227">
        <f>E56+E59+E61+E62+E63</f>
        <v>125000</v>
      </c>
      <c r="F64" s="227">
        <f t="shared" ref="F64:O64" si="13">F56+F59+F61+F62+F63</f>
        <v>150000</v>
      </c>
      <c r="G64" s="227">
        <f t="shared" si="13"/>
        <v>225000</v>
      </c>
      <c r="H64" s="227">
        <f t="shared" si="13"/>
        <v>250000</v>
      </c>
      <c r="I64" s="227">
        <f t="shared" si="13"/>
        <v>275000</v>
      </c>
      <c r="J64" s="227">
        <f t="shared" si="13"/>
        <v>250000</v>
      </c>
      <c r="K64" s="227">
        <f t="shared" si="13"/>
        <v>240000</v>
      </c>
      <c r="L64" s="227">
        <f t="shared" si="13"/>
        <v>250000</v>
      </c>
      <c r="M64" s="227">
        <f t="shared" si="13"/>
        <v>60000</v>
      </c>
      <c r="N64" s="227">
        <f t="shared" si="13"/>
        <v>30000</v>
      </c>
      <c r="O64" s="227">
        <f t="shared" si="13"/>
        <v>30000</v>
      </c>
      <c r="P64" s="227">
        <f>P56+P59+P61+P62+P63</f>
        <v>0</v>
      </c>
    </row>
    <row r="67" spans="2:5" x14ac:dyDescent="0.35">
      <c r="B67" s="10" t="s">
        <v>60</v>
      </c>
      <c r="C67" s="14"/>
    </row>
    <row r="68" spans="2:5" ht="15.5" x14ac:dyDescent="0.35">
      <c r="B68" s="137" t="s">
        <v>137</v>
      </c>
      <c r="C68" s="14"/>
      <c r="D68" s="137"/>
    </row>
    <row r="69" spans="2:5" ht="43.5" x14ac:dyDescent="0.35">
      <c r="B69" s="2" t="s">
        <v>27</v>
      </c>
      <c r="C69" s="138" t="str">
        <f>'AS Järva Haldus - Tööde mahud'!B83</f>
        <v>Raudtee tn 23 DP ÜVK väljaehitamine (4 kinnistu liitumine)</v>
      </c>
      <c r="D69" s="3">
        <f>'AS Järva Haldus - Tööde mahud'!F86</f>
        <v>46000</v>
      </c>
      <c r="E69" s="8"/>
    </row>
  </sheetData>
  <autoFilter ref="A3:Q3" xr:uid="{00000000-0001-0000-0000-000000000000}"/>
  <mergeCells count="3">
    <mergeCell ref="C15:P15"/>
    <mergeCell ref="C53:G53"/>
    <mergeCell ref="C29:L29"/>
  </mergeCells>
  <pageMargins left="0.70866141732283472" right="0.70866141732283472" top="0.74803149606299213" bottom="0.74803149606299213" header="0.31496062992125984" footer="0.31496062992125984"/>
  <pageSetup paperSize="9" scale="46" fitToHeight="0" orientation="landscape" r:id="rId1"/>
  <headerFooter>
    <oddHeader>&amp;CPõhja-Pärnumaa valla ühisveevärgi ja -kanalisatsiooni arendamise kava aastateks 2020-2032 Lisa 2 Investeeringute kava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552B8-4370-4C9B-8221-5FFD4E8F4F98}">
  <dimension ref="A1:H106"/>
  <sheetViews>
    <sheetView topLeftCell="A94" zoomScaleNormal="100" workbookViewId="0">
      <selection activeCell="G10" sqref="G10"/>
    </sheetView>
  </sheetViews>
  <sheetFormatPr defaultColWidth="8.7265625" defaultRowHeight="14.5" x14ac:dyDescent="0.35"/>
  <cols>
    <col min="1" max="1" width="14.453125" style="10" customWidth="1"/>
    <col min="2" max="2" width="56.81640625" style="14" customWidth="1"/>
    <col min="3" max="3" width="4.81640625" style="14" bestFit="1" customWidth="1"/>
    <col min="4" max="4" width="5.81640625" style="14" bestFit="1" customWidth="1"/>
    <col min="5" max="5" width="8.453125" style="14" bestFit="1" customWidth="1"/>
    <col min="6" max="6" width="10" style="14" bestFit="1" customWidth="1"/>
    <col min="7" max="7" width="48.1796875" style="14" customWidth="1"/>
    <col min="8" max="9" width="8.7265625" style="14"/>
    <col min="10" max="10" width="0" style="14" hidden="1" customWidth="1"/>
    <col min="11" max="16384" width="8.7265625" style="14"/>
  </cols>
  <sheetData>
    <row r="1" spans="1:7" x14ac:dyDescent="0.35">
      <c r="A1" s="10" t="s">
        <v>121</v>
      </c>
    </row>
    <row r="3" spans="1:7" s="10" customFormat="1" x14ac:dyDescent="0.35">
      <c r="B3" s="9" t="s">
        <v>31</v>
      </c>
      <c r="C3" s="9" t="s">
        <v>11</v>
      </c>
      <c r="D3" s="9" t="s">
        <v>6</v>
      </c>
      <c r="E3" s="9" t="s">
        <v>7</v>
      </c>
      <c r="F3" s="9" t="s">
        <v>14</v>
      </c>
    </row>
    <row r="4" spans="1:7" s="10" customFormat="1" x14ac:dyDescent="0.35">
      <c r="A4" s="9" t="s">
        <v>18</v>
      </c>
      <c r="B4" s="9" t="s">
        <v>35</v>
      </c>
      <c r="C4" s="9"/>
      <c r="D4" s="9"/>
      <c r="E4" s="9"/>
      <c r="F4" s="9"/>
    </row>
    <row r="5" spans="1:7" s="10" customFormat="1" x14ac:dyDescent="0.35">
      <c r="A5" s="9"/>
      <c r="B5" s="182" t="s">
        <v>99</v>
      </c>
      <c r="C5" s="163" t="s">
        <v>10</v>
      </c>
      <c r="D5" s="163">
        <v>1</v>
      </c>
      <c r="E5" s="183">
        <v>1000</v>
      </c>
      <c r="F5" s="183">
        <f>D5*E5</f>
        <v>1000</v>
      </c>
    </row>
    <row r="6" spans="1:7" s="10" customFormat="1" ht="29" x14ac:dyDescent="0.35">
      <c r="A6" s="9"/>
      <c r="B6" s="179" t="s">
        <v>72</v>
      </c>
      <c r="C6" s="163" t="s">
        <v>10</v>
      </c>
      <c r="D6" s="163">
        <v>1</v>
      </c>
      <c r="E6" s="183">
        <v>12000</v>
      </c>
      <c r="F6" s="183">
        <f t="shared" ref="F6:F10" si="0">D6*E6</f>
        <v>12000</v>
      </c>
      <c r="G6" s="180"/>
    </row>
    <row r="7" spans="1:7" s="10" customFormat="1" x14ac:dyDescent="0.35">
      <c r="A7" s="9"/>
      <c r="B7" s="184" t="s">
        <v>71</v>
      </c>
      <c r="C7" s="185"/>
      <c r="D7" s="185"/>
      <c r="E7" s="189"/>
      <c r="F7" s="189">
        <f>SUM(F5:F6)</f>
        <v>13000</v>
      </c>
      <c r="G7" s="180"/>
    </row>
    <row r="8" spans="1:7" s="10" customFormat="1" x14ac:dyDescent="0.35">
      <c r="A8" s="9"/>
      <c r="B8" s="184" t="s">
        <v>100</v>
      </c>
      <c r="C8" s="185"/>
      <c r="D8" s="185"/>
      <c r="E8" s="189"/>
      <c r="F8" s="189"/>
      <c r="G8" s="180"/>
    </row>
    <row r="9" spans="1:7" s="10" customFormat="1" ht="29" x14ac:dyDescent="0.35">
      <c r="A9" s="9"/>
      <c r="B9" s="162" t="s">
        <v>73</v>
      </c>
      <c r="C9" s="163" t="s">
        <v>10</v>
      </c>
      <c r="D9" s="163">
        <v>1</v>
      </c>
      <c r="E9" s="183">
        <v>15000</v>
      </c>
      <c r="F9" s="183">
        <f t="shared" si="0"/>
        <v>15000</v>
      </c>
    </row>
    <row r="10" spans="1:7" s="10" customFormat="1" x14ac:dyDescent="0.35">
      <c r="A10" s="9"/>
      <c r="B10" s="162" t="s">
        <v>74</v>
      </c>
      <c r="C10" s="163" t="s">
        <v>10</v>
      </c>
      <c r="D10" s="163">
        <v>1</v>
      </c>
      <c r="E10" s="183">
        <v>8000</v>
      </c>
      <c r="F10" s="183">
        <f t="shared" si="0"/>
        <v>8000</v>
      </c>
    </row>
    <row r="11" spans="1:7" s="10" customFormat="1" x14ac:dyDescent="0.35">
      <c r="A11" s="9"/>
      <c r="B11" s="184" t="s">
        <v>71</v>
      </c>
      <c r="C11" s="185"/>
      <c r="D11" s="185"/>
      <c r="E11" s="189"/>
      <c r="F11" s="189">
        <f>SUM(F9:F10)</f>
        <v>23000</v>
      </c>
    </row>
    <row r="12" spans="1:7" s="10" customFormat="1" x14ac:dyDescent="0.35">
      <c r="A12" s="9"/>
      <c r="B12" s="73" t="s">
        <v>32</v>
      </c>
      <c r="C12" s="74" t="s">
        <v>9</v>
      </c>
      <c r="D12" s="75">
        <v>955</v>
      </c>
      <c r="E12" s="75">
        <v>90</v>
      </c>
      <c r="F12" s="75">
        <f t="shared" ref="F12:F17" si="1">D12*E12</f>
        <v>85950</v>
      </c>
      <c r="G12" s="267"/>
    </row>
    <row r="13" spans="1:7" s="10" customFormat="1" x14ac:dyDescent="0.35">
      <c r="A13" s="9"/>
      <c r="B13" s="149" t="s">
        <v>39</v>
      </c>
      <c r="C13" s="150" t="s">
        <v>9</v>
      </c>
      <c r="D13" s="75">
        <v>95</v>
      </c>
      <c r="E13" s="75">
        <v>90</v>
      </c>
      <c r="F13" s="75">
        <f t="shared" si="1"/>
        <v>8550</v>
      </c>
      <c r="G13" s="77"/>
    </row>
    <row r="14" spans="1:7" s="10" customFormat="1" x14ac:dyDescent="0.35">
      <c r="A14" s="9"/>
      <c r="B14" s="76" t="s">
        <v>15</v>
      </c>
      <c r="C14" s="76" t="s">
        <v>9</v>
      </c>
      <c r="D14" s="75">
        <v>3015</v>
      </c>
      <c r="E14" s="75">
        <v>160</v>
      </c>
      <c r="F14" s="75">
        <f t="shared" si="1"/>
        <v>482400</v>
      </c>
    </row>
    <row r="15" spans="1:7" s="10" customFormat="1" x14ac:dyDescent="0.35">
      <c r="A15" s="9"/>
      <c r="B15" s="76" t="s">
        <v>33</v>
      </c>
      <c r="C15" s="76" t="s">
        <v>9</v>
      </c>
      <c r="D15" s="75">
        <v>1305</v>
      </c>
      <c r="E15" s="75">
        <v>90</v>
      </c>
      <c r="F15" s="75">
        <f t="shared" si="1"/>
        <v>117450</v>
      </c>
    </row>
    <row r="16" spans="1:7" s="10" customFormat="1" x14ac:dyDescent="0.35">
      <c r="A16" s="9"/>
      <c r="B16" s="76" t="s">
        <v>8</v>
      </c>
      <c r="C16" s="76" t="s">
        <v>10</v>
      </c>
      <c r="D16" s="76">
        <v>5</v>
      </c>
      <c r="E16" s="75">
        <v>30000</v>
      </c>
      <c r="F16" s="75">
        <f t="shared" si="1"/>
        <v>150000</v>
      </c>
    </row>
    <row r="17" spans="1:7" s="10" customFormat="1" x14ac:dyDescent="0.35">
      <c r="A17" s="202"/>
      <c r="B17" s="202" t="s">
        <v>102</v>
      </c>
      <c r="C17" s="202" t="s">
        <v>10</v>
      </c>
      <c r="D17" s="202">
        <v>1</v>
      </c>
      <c r="E17" s="203">
        <v>30000</v>
      </c>
      <c r="F17" s="203">
        <f t="shared" si="1"/>
        <v>30000</v>
      </c>
    </row>
    <row r="18" spans="1:7" s="10" customFormat="1" x14ac:dyDescent="0.35">
      <c r="A18" s="9"/>
      <c r="B18" s="76" t="s">
        <v>16</v>
      </c>
      <c r="C18" s="76"/>
      <c r="D18" s="76"/>
      <c r="E18" s="76"/>
      <c r="F18" s="78">
        <f>SUM(F12:F17)+F7+F11</f>
        <v>910350</v>
      </c>
    </row>
    <row r="19" spans="1:7" s="10" customFormat="1" x14ac:dyDescent="0.35">
      <c r="A19" s="9"/>
      <c r="B19" s="186" t="s">
        <v>101</v>
      </c>
      <c r="C19" s="76"/>
      <c r="D19" s="76"/>
      <c r="E19" s="76"/>
      <c r="F19" s="78">
        <f>F18*0.1</f>
        <v>91035</v>
      </c>
    </row>
    <row r="20" spans="1:7" s="10" customFormat="1" x14ac:dyDescent="0.35">
      <c r="A20" s="9"/>
      <c r="B20" s="9" t="s">
        <v>17</v>
      </c>
      <c r="C20" s="9"/>
      <c r="D20" s="9"/>
      <c r="E20" s="9"/>
      <c r="F20" s="12">
        <f>SUM(F18:F19)</f>
        <v>1001385</v>
      </c>
      <c r="G20" s="77"/>
    </row>
    <row r="21" spans="1:7" s="10" customFormat="1" x14ac:dyDescent="0.35">
      <c r="F21" s="19"/>
      <c r="G21" s="77"/>
    </row>
    <row r="22" spans="1:7" s="10" customFormat="1" x14ac:dyDescent="0.35">
      <c r="A22" s="9" t="s">
        <v>19</v>
      </c>
      <c r="B22" s="9" t="s">
        <v>36</v>
      </c>
      <c r="C22" s="9"/>
      <c r="D22" s="9"/>
      <c r="E22" s="9"/>
      <c r="F22" s="12"/>
      <c r="G22" s="77"/>
    </row>
    <row r="23" spans="1:7" s="10" customFormat="1" x14ac:dyDescent="0.35">
      <c r="A23" s="76"/>
      <c r="B23" s="186" t="s">
        <v>103</v>
      </c>
      <c r="C23" s="76" t="s">
        <v>9</v>
      </c>
      <c r="D23" s="76">
        <v>85</v>
      </c>
      <c r="E23" s="76">
        <v>90</v>
      </c>
      <c r="F23" s="75">
        <f>D23*E23</f>
        <v>7650</v>
      </c>
      <c r="G23" s="66"/>
    </row>
    <row r="24" spans="1:7" s="10" customFormat="1" ht="29" x14ac:dyDescent="0.35">
      <c r="A24" s="76"/>
      <c r="B24" s="144" t="s">
        <v>75</v>
      </c>
      <c r="C24" s="76" t="s">
        <v>9</v>
      </c>
      <c r="D24" s="76">
        <v>925</v>
      </c>
      <c r="E24" s="76">
        <v>160</v>
      </c>
      <c r="F24" s="75">
        <f t="shared" ref="F24:F26" si="2">D24*E24</f>
        <v>148000</v>
      </c>
      <c r="G24" s="66"/>
    </row>
    <row r="25" spans="1:7" s="10" customFormat="1" x14ac:dyDescent="0.35">
      <c r="A25" s="76"/>
      <c r="B25" s="76" t="s">
        <v>33</v>
      </c>
      <c r="C25" s="76" t="s">
        <v>9</v>
      </c>
      <c r="D25" s="76">
        <v>655</v>
      </c>
      <c r="E25" s="76">
        <v>90</v>
      </c>
      <c r="F25" s="75">
        <f t="shared" si="2"/>
        <v>58950</v>
      </c>
      <c r="G25" s="77"/>
    </row>
    <row r="26" spans="1:7" s="35" customFormat="1" x14ac:dyDescent="0.35">
      <c r="A26" s="79"/>
      <c r="B26" s="80" t="s">
        <v>8</v>
      </c>
      <c r="C26" s="81" t="s">
        <v>10</v>
      </c>
      <c r="D26" s="82">
        <v>2</v>
      </c>
      <c r="E26" s="82">
        <v>30000</v>
      </c>
      <c r="F26" s="75">
        <f t="shared" si="2"/>
        <v>60000</v>
      </c>
      <c r="G26" s="34"/>
    </row>
    <row r="27" spans="1:7" s="83" customFormat="1" x14ac:dyDescent="0.35">
      <c r="A27" s="79"/>
      <c r="B27" s="80" t="s">
        <v>16</v>
      </c>
      <c r="C27" s="81"/>
      <c r="D27" s="82"/>
      <c r="E27" s="82"/>
      <c r="F27" s="75">
        <f>SUM(F23:F26)</f>
        <v>274600</v>
      </c>
      <c r="G27" s="34"/>
    </row>
    <row r="28" spans="1:7" s="35" customFormat="1" x14ac:dyDescent="0.35">
      <c r="A28" s="79"/>
      <c r="B28" s="186" t="s">
        <v>101</v>
      </c>
      <c r="C28" s="81"/>
      <c r="D28" s="82"/>
      <c r="E28" s="82"/>
      <c r="F28" s="82">
        <f>F27*0.1</f>
        <v>27460</v>
      </c>
      <c r="G28" s="34"/>
    </row>
    <row r="29" spans="1:7" x14ac:dyDescent="0.35">
      <c r="A29" s="9"/>
      <c r="B29" s="11" t="s">
        <v>17</v>
      </c>
      <c r="C29" s="27"/>
      <c r="D29" s="15"/>
      <c r="E29" s="15"/>
      <c r="F29" s="12">
        <f>SUM(F27:F28)</f>
        <v>302060</v>
      </c>
      <c r="G29" s="16"/>
    </row>
    <row r="30" spans="1:7" x14ac:dyDescent="0.35">
      <c r="B30" s="18"/>
      <c r="C30" s="28"/>
      <c r="D30" s="17"/>
      <c r="E30" s="17"/>
      <c r="F30" s="17"/>
    </row>
    <row r="31" spans="1:7" x14ac:dyDescent="0.35">
      <c r="A31" s="9" t="s">
        <v>20</v>
      </c>
      <c r="B31" s="11" t="s">
        <v>37</v>
      </c>
      <c r="C31" s="27"/>
      <c r="D31" s="15"/>
      <c r="E31" s="15"/>
      <c r="F31" s="15"/>
    </row>
    <row r="32" spans="1:7" x14ac:dyDescent="0.35">
      <c r="A32" s="9"/>
      <c r="B32" s="182" t="s">
        <v>104</v>
      </c>
      <c r="C32" s="190"/>
      <c r="D32" s="165"/>
      <c r="E32" s="165"/>
      <c r="F32" s="165"/>
    </row>
    <row r="33" spans="1:7" x14ac:dyDescent="0.35">
      <c r="A33" s="9"/>
      <c r="B33" s="182" t="s">
        <v>106</v>
      </c>
      <c r="C33" s="191" t="s">
        <v>10</v>
      </c>
      <c r="D33" s="165">
        <v>1</v>
      </c>
      <c r="E33" s="165">
        <v>10000</v>
      </c>
      <c r="F33" s="165">
        <f>D33*E33</f>
        <v>10000</v>
      </c>
    </row>
    <row r="34" spans="1:7" x14ac:dyDescent="0.35">
      <c r="A34" s="9"/>
      <c r="B34" s="182" t="s">
        <v>107</v>
      </c>
      <c r="C34" s="191" t="s">
        <v>10</v>
      </c>
      <c r="D34" s="165">
        <v>1</v>
      </c>
      <c r="E34" s="165">
        <v>15000</v>
      </c>
      <c r="F34" s="165">
        <f>D34*E34</f>
        <v>15000</v>
      </c>
    </row>
    <row r="35" spans="1:7" x14ac:dyDescent="0.35">
      <c r="A35" s="9"/>
      <c r="B35" s="187" t="s">
        <v>105</v>
      </c>
      <c r="C35" s="191" t="s">
        <v>9</v>
      </c>
      <c r="D35" s="165">
        <v>75</v>
      </c>
      <c r="E35" s="165">
        <v>160</v>
      </c>
      <c r="F35" s="165">
        <f>D35*E35</f>
        <v>12000</v>
      </c>
      <c r="G35" s="282"/>
    </row>
    <row r="36" spans="1:7" x14ac:dyDescent="0.35">
      <c r="A36" s="9"/>
      <c r="B36" s="185" t="s">
        <v>71</v>
      </c>
      <c r="C36" s="191"/>
      <c r="D36" s="165"/>
      <c r="E36" s="165"/>
      <c r="F36" s="189">
        <f>SUM(F33:F35)</f>
        <v>37000</v>
      </c>
      <c r="G36" s="153"/>
    </row>
    <row r="37" spans="1:7" x14ac:dyDescent="0.35">
      <c r="A37" s="9"/>
      <c r="B37" s="185" t="s">
        <v>108</v>
      </c>
      <c r="C37" s="191"/>
      <c r="D37" s="165"/>
      <c r="E37" s="165"/>
      <c r="F37" s="165"/>
      <c r="G37" s="153"/>
    </row>
    <row r="38" spans="1:7" ht="29" x14ac:dyDescent="0.35">
      <c r="A38" s="9"/>
      <c r="B38" s="182" t="s">
        <v>118</v>
      </c>
      <c r="C38" s="164" t="s">
        <v>10</v>
      </c>
      <c r="D38" s="165">
        <v>1</v>
      </c>
      <c r="E38" s="165">
        <v>5000</v>
      </c>
      <c r="F38" s="165">
        <f>D38*E38</f>
        <v>5000</v>
      </c>
      <c r="G38" s="177"/>
    </row>
    <row r="39" spans="1:7" x14ac:dyDescent="0.35">
      <c r="A39" s="9"/>
      <c r="B39" s="162" t="s">
        <v>76</v>
      </c>
      <c r="C39" s="164" t="s">
        <v>10</v>
      </c>
      <c r="D39" s="165">
        <v>1</v>
      </c>
      <c r="E39" s="165">
        <f>200*30</f>
        <v>6000</v>
      </c>
      <c r="F39" s="165">
        <f>D39*E39</f>
        <v>6000</v>
      </c>
    </row>
    <row r="40" spans="1:7" x14ac:dyDescent="0.35">
      <c r="A40" s="9"/>
      <c r="B40" s="184" t="s">
        <v>71</v>
      </c>
      <c r="C40" s="191"/>
      <c r="D40" s="165"/>
      <c r="E40" s="165"/>
      <c r="F40" s="189">
        <f>SUM(F38:F39)</f>
        <v>11000</v>
      </c>
    </row>
    <row r="41" spans="1:7" x14ac:dyDescent="0.35">
      <c r="A41" s="13"/>
      <c r="B41" s="73" t="s">
        <v>32</v>
      </c>
      <c r="C41" s="27" t="s">
        <v>9</v>
      </c>
      <c r="D41" s="15">
        <v>2600</v>
      </c>
      <c r="E41" s="15">
        <v>90</v>
      </c>
      <c r="F41" s="15">
        <f>D41*E41</f>
        <v>234000</v>
      </c>
      <c r="G41" s="16"/>
    </row>
    <row r="42" spans="1:7" x14ac:dyDescent="0.35">
      <c r="A42" s="13"/>
      <c r="B42" s="73" t="s">
        <v>15</v>
      </c>
      <c r="C42" s="74" t="s">
        <v>9</v>
      </c>
      <c r="D42" s="15">
        <v>2220</v>
      </c>
      <c r="E42" s="15">
        <v>160</v>
      </c>
      <c r="F42" s="15">
        <f t="shared" ref="F42:F43" si="3">D42*E42</f>
        <v>355200</v>
      </c>
      <c r="G42" s="267"/>
    </row>
    <row r="43" spans="1:7" x14ac:dyDescent="0.35">
      <c r="A43" s="13"/>
      <c r="B43" s="73" t="s">
        <v>33</v>
      </c>
      <c r="C43" s="74" t="s">
        <v>9</v>
      </c>
      <c r="D43" s="15">
        <v>510</v>
      </c>
      <c r="E43" s="15">
        <v>90</v>
      </c>
      <c r="F43" s="15">
        <f t="shared" si="3"/>
        <v>45900</v>
      </c>
    </row>
    <row r="44" spans="1:7" x14ac:dyDescent="0.35">
      <c r="A44" s="9"/>
      <c r="B44" s="73" t="s">
        <v>8</v>
      </c>
      <c r="C44" s="74" t="s">
        <v>10</v>
      </c>
      <c r="D44" s="15">
        <v>2</v>
      </c>
      <c r="E44" s="15">
        <v>30000</v>
      </c>
      <c r="F44" s="15">
        <f>D44*E44</f>
        <v>60000</v>
      </c>
    </row>
    <row r="45" spans="1:7" s="10" customFormat="1" ht="29" x14ac:dyDescent="0.35">
      <c r="A45" s="9"/>
      <c r="B45" s="204" t="s">
        <v>109</v>
      </c>
      <c r="C45" s="205" t="s">
        <v>10</v>
      </c>
      <c r="D45" s="203">
        <v>1</v>
      </c>
      <c r="E45" s="203">
        <v>100000</v>
      </c>
      <c r="F45" s="203">
        <f>D45*E45</f>
        <v>100000</v>
      </c>
    </row>
    <row r="46" spans="1:7" x14ac:dyDescent="0.35">
      <c r="A46" s="9"/>
      <c r="B46" s="73" t="s">
        <v>16</v>
      </c>
      <c r="C46" s="74"/>
      <c r="D46" s="15"/>
      <c r="E46" s="15"/>
      <c r="F46" s="75">
        <f>F36+F40+F41+F42+F43+F44+F45</f>
        <v>843100</v>
      </c>
    </row>
    <row r="47" spans="1:7" x14ac:dyDescent="0.35">
      <c r="A47" s="9"/>
      <c r="B47" s="186" t="s">
        <v>101</v>
      </c>
      <c r="C47" s="74"/>
      <c r="D47" s="15"/>
      <c r="E47" s="15"/>
      <c r="F47" s="15">
        <f>F46*0.1</f>
        <v>84310</v>
      </c>
    </row>
    <row r="48" spans="1:7" s="10" customFormat="1" x14ac:dyDescent="0.35">
      <c r="A48" s="9"/>
      <c r="B48" s="11" t="s">
        <v>17</v>
      </c>
      <c r="C48" s="43"/>
      <c r="D48" s="12"/>
      <c r="E48" s="12"/>
      <c r="F48" s="12">
        <f>SUM(F46:F47)</f>
        <v>927410</v>
      </c>
    </row>
    <row r="49" spans="1:7" s="10" customFormat="1" x14ac:dyDescent="0.35">
      <c r="B49" s="89"/>
      <c r="C49" s="114"/>
      <c r="D49" s="19"/>
      <c r="E49" s="19"/>
      <c r="F49" s="19"/>
    </row>
    <row r="50" spans="1:7" x14ac:dyDescent="0.35">
      <c r="A50" s="9" t="s">
        <v>21</v>
      </c>
      <c r="B50" s="11" t="s">
        <v>38</v>
      </c>
      <c r="C50" s="27"/>
      <c r="D50" s="15"/>
      <c r="E50" s="15"/>
      <c r="F50" s="12"/>
      <c r="G50" s="197"/>
    </row>
    <row r="51" spans="1:7" x14ac:dyDescent="0.35">
      <c r="A51" s="9"/>
      <c r="B51" s="73" t="s">
        <v>39</v>
      </c>
      <c r="C51" s="74" t="s">
        <v>9</v>
      </c>
      <c r="D51" s="15">
        <v>160</v>
      </c>
      <c r="E51" s="15">
        <v>100</v>
      </c>
      <c r="F51" s="75">
        <f>D51*E51</f>
        <v>16000</v>
      </c>
    </row>
    <row r="52" spans="1:7" x14ac:dyDescent="0.35">
      <c r="A52" s="9"/>
      <c r="B52" s="73" t="s">
        <v>32</v>
      </c>
      <c r="C52" s="74" t="s">
        <v>9</v>
      </c>
      <c r="D52" s="15">
        <v>190</v>
      </c>
      <c r="E52" s="15">
        <v>100</v>
      </c>
      <c r="F52" s="75">
        <f t="shared" ref="F52:F55" si="4">D52*E52</f>
        <v>19000</v>
      </c>
      <c r="G52" s="267"/>
    </row>
    <row r="53" spans="1:7" x14ac:dyDescent="0.35">
      <c r="A53" s="9"/>
      <c r="B53" s="73" t="s">
        <v>40</v>
      </c>
      <c r="C53" s="74" t="s">
        <v>9</v>
      </c>
      <c r="D53" s="15">
        <v>605</v>
      </c>
      <c r="E53" s="15">
        <v>130</v>
      </c>
      <c r="F53" s="75">
        <f t="shared" si="4"/>
        <v>78650</v>
      </c>
    </row>
    <row r="54" spans="1:7" x14ac:dyDescent="0.35">
      <c r="A54" s="9"/>
      <c r="B54" s="80" t="s">
        <v>13</v>
      </c>
      <c r="C54" s="64" t="s">
        <v>9</v>
      </c>
      <c r="D54" s="15">
        <v>425</v>
      </c>
      <c r="E54" s="37">
        <v>90</v>
      </c>
      <c r="F54" s="75">
        <f t="shared" si="4"/>
        <v>38250</v>
      </c>
    </row>
    <row r="55" spans="1:7" x14ac:dyDescent="0.35">
      <c r="A55" s="9"/>
      <c r="B55" s="80" t="s">
        <v>15</v>
      </c>
      <c r="C55" s="81" t="s">
        <v>9</v>
      </c>
      <c r="D55" s="37">
        <v>465</v>
      </c>
      <c r="E55" s="37">
        <v>130</v>
      </c>
      <c r="F55" s="75">
        <f t="shared" si="4"/>
        <v>60450</v>
      </c>
      <c r="G55" s="181"/>
    </row>
    <row r="56" spans="1:7" x14ac:dyDescent="0.35">
      <c r="A56" s="9"/>
      <c r="B56" s="73" t="s">
        <v>16</v>
      </c>
      <c r="C56" s="81"/>
      <c r="D56" s="37"/>
      <c r="E56" s="37"/>
      <c r="F56" s="75">
        <f>SUM(F51:F55)</f>
        <v>212350</v>
      </c>
    </row>
    <row r="57" spans="1:7" x14ac:dyDescent="0.35">
      <c r="A57" s="9"/>
      <c r="B57" s="76" t="s">
        <v>34</v>
      </c>
      <c r="C57" s="81"/>
      <c r="D57" s="37"/>
      <c r="E57" s="37"/>
      <c r="F57" s="75">
        <f>F56*0.15</f>
        <v>31852.5</v>
      </c>
    </row>
    <row r="58" spans="1:7" x14ac:dyDescent="0.35">
      <c r="A58" s="9"/>
      <c r="B58" s="11" t="s">
        <v>17</v>
      </c>
      <c r="C58" s="64"/>
      <c r="D58" s="37"/>
      <c r="E58" s="37"/>
      <c r="F58" s="65">
        <f>SUM(F56:F57)</f>
        <v>244202.5</v>
      </c>
    </row>
    <row r="59" spans="1:7" x14ac:dyDescent="0.35">
      <c r="D59" s="17"/>
      <c r="E59" s="17"/>
      <c r="F59" s="17"/>
    </row>
    <row r="60" spans="1:7" x14ac:dyDescent="0.35">
      <c r="A60" s="9" t="s">
        <v>23</v>
      </c>
      <c r="B60" s="9" t="s">
        <v>110</v>
      </c>
      <c r="C60" s="9" t="s">
        <v>10</v>
      </c>
      <c r="D60" s="12">
        <v>2</v>
      </c>
      <c r="E60" s="12">
        <v>30000</v>
      </c>
      <c r="F60" s="12">
        <f>D60*E60</f>
        <v>60000</v>
      </c>
      <c r="G60" s="16"/>
    </row>
    <row r="61" spans="1:7" x14ac:dyDescent="0.35">
      <c r="D61" s="17"/>
      <c r="E61" s="17"/>
      <c r="F61" s="17"/>
    </row>
    <row r="62" spans="1:7" ht="29" x14ac:dyDescent="0.35">
      <c r="A62" s="9" t="s">
        <v>24</v>
      </c>
      <c r="B62" s="23" t="s">
        <v>122</v>
      </c>
      <c r="C62" s="13"/>
      <c r="D62" s="13"/>
      <c r="E62" s="13"/>
      <c r="F62" s="13"/>
      <c r="G62" s="198"/>
    </row>
    <row r="63" spans="1:7" x14ac:dyDescent="0.35">
      <c r="A63" s="9"/>
      <c r="B63" s="166" t="s">
        <v>90</v>
      </c>
      <c r="C63" s="176" t="s">
        <v>10</v>
      </c>
      <c r="D63" s="173">
        <v>1</v>
      </c>
      <c r="E63" s="174">
        <v>10000</v>
      </c>
      <c r="F63" s="174">
        <f>D63*E63</f>
        <v>10000</v>
      </c>
      <c r="G63" s="17"/>
    </row>
    <row r="64" spans="1:7" ht="29" x14ac:dyDescent="0.35">
      <c r="A64" s="9"/>
      <c r="B64" s="151" t="s">
        <v>41</v>
      </c>
      <c r="C64" s="88" t="s">
        <v>10</v>
      </c>
      <c r="D64" s="26">
        <v>1</v>
      </c>
      <c r="E64" s="15">
        <v>20000</v>
      </c>
      <c r="F64" s="15">
        <f>D64*E64</f>
        <v>20000</v>
      </c>
    </row>
    <row r="65" spans="1:8" ht="15" customHeight="1" x14ac:dyDescent="0.35">
      <c r="A65" s="9"/>
      <c r="B65" s="171" t="s">
        <v>98</v>
      </c>
      <c r="C65" s="168" t="s">
        <v>10</v>
      </c>
      <c r="D65" s="169">
        <v>1</v>
      </c>
      <c r="E65" s="170"/>
      <c r="F65" s="170"/>
      <c r="G65" s="152"/>
    </row>
    <row r="66" spans="1:8" ht="29" x14ac:dyDescent="0.35">
      <c r="A66" s="9"/>
      <c r="B66" s="167" t="s">
        <v>93</v>
      </c>
      <c r="C66" s="168" t="s">
        <v>10</v>
      </c>
      <c r="D66" s="169">
        <v>1</v>
      </c>
      <c r="E66" s="170">
        <v>60000</v>
      </c>
      <c r="F66" s="170">
        <f t="shared" ref="F66:F70" si="5">D66*E66</f>
        <v>60000</v>
      </c>
      <c r="G66" s="152"/>
    </row>
    <row r="67" spans="1:8" ht="29" x14ac:dyDescent="0.35">
      <c r="A67" s="9"/>
      <c r="B67" s="167" t="s">
        <v>94</v>
      </c>
      <c r="C67" s="168" t="s">
        <v>10</v>
      </c>
      <c r="D67" s="169">
        <v>1</v>
      </c>
      <c r="E67" s="170">
        <v>65000</v>
      </c>
      <c r="F67" s="170">
        <f t="shared" si="5"/>
        <v>65000</v>
      </c>
      <c r="G67" s="152"/>
    </row>
    <row r="68" spans="1:8" ht="29" x14ac:dyDescent="0.35">
      <c r="A68" s="9"/>
      <c r="B68" s="171" t="s">
        <v>97</v>
      </c>
      <c r="C68" s="168" t="s">
        <v>10</v>
      </c>
      <c r="D68" s="169">
        <v>1</v>
      </c>
      <c r="E68" s="170">
        <v>20000</v>
      </c>
      <c r="F68" s="170">
        <f t="shared" si="5"/>
        <v>20000</v>
      </c>
      <c r="G68" s="152"/>
    </row>
    <row r="69" spans="1:8" ht="29" x14ac:dyDescent="0.35">
      <c r="A69" s="9"/>
      <c r="B69" s="167" t="s">
        <v>95</v>
      </c>
      <c r="C69" s="168" t="s">
        <v>10</v>
      </c>
      <c r="D69" s="169">
        <v>1</v>
      </c>
      <c r="E69" s="170">
        <v>20000</v>
      </c>
      <c r="F69" s="170">
        <f t="shared" si="5"/>
        <v>20000</v>
      </c>
      <c r="G69" s="152"/>
    </row>
    <row r="70" spans="1:8" ht="29" x14ac:dyDescent="0.35">
      <c r="A70" s="9"/>
      <c r="B70" s="167" t="s">
        <v>96</v>
      </c>
      <c r="C70" s="168" t="s">
        <v>10</v>
      </c>
      <c r="D70" s="169">
        <v>1</v>
      </c>
      <c r="E70" s="170">
        <v>10000</v>
      </c>
      <c r="F70" s="170">
        <f t="shared" si="5"/>
        <v>10000</v>
      </c>
      <c r="G70" s="152"/>
    </row>
    <row r="71" spans="1:8" ht="29" x14ac:dyDescent="0.35">
      <c r="A71" s="9"/>
      <c r="B71" s="167" t="s">
        <v>91</v>
      </c>
      <c r="C71" s="168" t="s">
        <v>10</v>
      </c>
      <c r="D71" s="169">
        <v>1</v>
      </c>
      <c r="E71" s="170">
        <v>35000</v>
      </c>
      <c r="F71" s="170">
        <f t="shared" ref="F71:F72" si="6">D71*E71</f>
        <v>35000</v>
      </c>
      <c r="G71" s="178"/>
    </row>
    <row r="72" spans="1:8" ht="29" x14ac:dyDescent="0.35">
      <c r="A72" s="9"/>
      <c r="B72" s="167" t="s">
        <v>92</v>
      </c>
      <c r="C72" s="168" t="s">
        <v>10</v>
      </c>
      <c r="D72" s="169">
        <v>1</v>
      </c>
      <c r="E72" s="170">
        <v>8000</v>
      </c>
      <c r="F72" s="170">
        <f t="shared" si="6"/>
        <v>8000</v>
      </c>
      <c r="G72" s="17"/>
    </row>
    <row r="73" spans="1:8" x14ac:dyDescent="0.35">
      <c r="A73" s="13"/>
      <c r="B73" s="13" t="s">
        <v>16</v>
      </c>
      <c r="C73" s="13"/>
      <c r="D73" s="15"/>
      <c r="E73" s="15"/>
      <c r="F73" s="15">
        <f>SUM(F63:F72)</f>
        <v>248000</v>
      </c>
      <c r="G73" s="17"/>
    </row>
    <row r="74" spans="1:8" x14ac:dyDescent="0.35">
      <c r="A74" s="13"/>
      <c r="B74" s="186" t="s">
        <v>101</v>
      </c>
      <c r="C74" s="13"/>
      <c r="D74" s="15"/>
      <c r="E74" s="15"/>
      <c r="F74" s="15">
        <f>F73*0.1</f>
        <v>24800</v>
      </c>
      <c r="G74" s="17"/>
    </row>
    <row r="75" spans="1:8" x14ac:dyDescent="0.35">
      <c r="A75" s="9"/>
      <c r="B75" s="11" t="s">
        <v>17</v>
      </c>
      <c r="C75" s="9"/>
      <c r="D75" s="12"/>
      <c r="E75" s="12"/>
      <c r="F75" s="12">
        <f>SUM(F73:F74)</f>
        <v>272800</v>
      </c>
      <c r="G75" s="17"/>
    </row>
    <row r="76" spans="1:8" x14ac:dyDescent="0.35">
      <c r="D76" s="17"/>
      <c r="E76" s="17"/>
      <c r="F76" s="17"/>
      <c r="G76" s="29"/>
      <c r="H76" s="31"/>
    </row>
    <row r="77" spans="1:8" ht="29" x14ac:dyDescent="0.35">
      <c r="A77" s="9" t="s">
        <v>25</v>
      </c>
      <c r="B77" s="23" t="s">
        <v>120</v>
      </c>
      <c r="C77" s="13"/>
      <c r="D77" s="15"/>
      <c r="E77" s="15"/>
      <c r="F77" s="15"/>
      <c r="G77" s="31"/>
    </row>
    <row r="78" spans="1:8" x14ac:dyDescent="0.35">
      <c r="A78" s="9"/>
      <c r="B78" s="20" t="s">
        <v>5</v>
      </c>
      <c r="C78" s="36" t="s">
        <v>9</v>
      </c>
      <c r="D78" s="15">
        <v>80</v>
      </c>
      <c r="E78" s="15">
        <v>90</v>
      </c>
      <c r="F78" s="15">
        <f t="shared" ref="F78:F79" si="7">D78*E78</f>
        <v>7200</v>
      </c>
    </row>
    <row r="79" spans="1:8" x14ac:dyDescent="0.35">
      <c r="A79" s="9"/>
      <c r="B79" s="21" t="s">
        <v>12</v>
      </c>
      <c r="C79" s="21" t="s">
        <v>9</v>
      </c>
      <c r="D79" s="22">
        <v>100</v>
      </c>
      <c r="E79" s="15">
        <v>160</v>
      </c>
      <c r="F79" s="15">
        <f t="shared" si="7"/>
        <v>16000</v>
      </c>
    </row>
    <row r="80" spans="1:8" ht="29" x14ac:dyDescent="0.35">
      <c r="A80" s="9"/>
      <c r="B80" s="168" t="s">
        <v>89</v>
      </c>
      <c r="C80" s="168" t="s">
        <v>10</v>
      </c>
      <c r="D80" s="172">
        <v>1</v>
      </c>
      <c r="E80" s="170">
        <v>4500</v>
      </c>
      <c r="F80" s="170">
        <f>D80*E80</f>
        <v>4500</v>
      </c>
    </row>
    <row r="81" spans="1:8" x14ac:dyDescent="0.35">
      <c r="A81" s="13"/>
      <c r="B81" s="13" t="s">
        <v>16</v>
      </c>
      <c r="C81" s="13"/>
      <c r="D81" s="15"/>
      <c r="E81" s="15"/>
      <c r="F81" s="15">
        <f>SUM(F78:F80)</f>
        <v>27700</v>
      </c>
      <c r="G81" s="32"/>
      <c r="H81" s="16"/>
    </row>
    <row r="82" spans="1:8" x14ac:dyDescent="0.35">
      <c r="A82" s="13"/>
      <c r="B82" s="186" t="s">
        <v>101</v>
      </c>
      <c r="C82" s="13"/>
      <c r="D82" s="15"/>
      <c r="E82" s="15"/>
      <c r="F82" s="15">
        <f>F81*0.1</f>
        <v>2770</v>
      </c>
      <c r="G82" s="32"/>
      <c r="H82" s="16"/>
    </row>
    <row r="83" spans="1:8" s="10" customFormat="1" x14ac:dyDescent="0.35">
      <c r="A83" s="9"/>
      <c r="B83" s="11" t="s">
        <v>17</v>
      </c>
      <c r="C83" s="9"/>
      <c r="D83" s="12"/>
      <c r="E83" s="12"/>
      <c r="F83" s="12">
        <f>SUM(F81:F82)</f>
        <v>30470</v>
      </c>
    </row>
    <row r="84" spans="1:8" s="10" customFormat="1" x14ac:dyDescent="0.35">
      <c r="B84" s="89"/>
      <c r="D84" s="19"/>
      <c r="E84" s="19"/>
      <c r="F84" s="19"/>
    </row>
    <row r="85" spans="1:8" s="10" customFormat="1" x14ac:dyDescent="0.35">
      <c r="A85" s="10" t="s">
        <v>25</v>
      </c>
      <c r="B85" s="89" t="s">
        <v>13</v>
      </c>
      <c r="D85" s="19"/>
      <c r="E85" s="19"/>
      <c r="F85" s="19"/>
    </row>
    <row r="86" spans="1:8" x14ac:dyDescent="0.35">
      <c r="A86" s="9"/>
      <c r="B86" s="21" t="s">
        <v>13</v>
      </c>
      <c r="C86" s="21" t="s">
        <v>9</v>
      </c>
      <c r="D86" s="22">
        <v>745</v>
      </c>
      <c r="E86" s="15">
        <v>90</v>
      </c>
      <c r="F86" s="15">
        <f>D86*E86</f>
        <v>67050</v>
      </c>
    </row>
    <row r="87" spans="1:8" x14ac:dyDescent="0.35">
      <c r="A87" s="13"/>
      <c r="B87" s="186" t="s">
        <v>101</v>
      </c>
      <c r="C87" s="13"/>
      <c r="D87" s="15"/>
      <c r="E87" s="15"/>
      <c r="F87" s="15">
        <f>F86*0.1</f>
        <v>6705</v>
      </c>
    </row>
    <row r="88" spans="1:8" x14ac:dyDescent="0.35">
      <c r="A88" s="9"/>
      <c r="B88" s="11" t="s">
        <v>17</v>
      </c>
      <c r="C88" s="9"/>
      <c r="D88" s="12"/>
      <c r="E88" s="12"/>
      <c r="F88" s="12">
        <f>SUM(F86:F87)</f>
        <v>73755</v>
      </c>
    </row>
    <row r="89" spans="1:8" s="10" customFormat="1" x14ac:dyDescent="0.35">
      <c r="B89" s="89"/>
      <c r="D89" s="19"/>
      <c r="E89" s="19"/>
      <c r="F89" s="19"/>
    </row>
    <row r="90" spans="1:8" s="10" customFormat="1" x14ac:dyDescent="0.35">
      <c r="B90" s="89"/>
      <c r="D90" s="19"/>
      <c r="E90" s="19"/>
      <c r="F90" s="90"/>
    </row>
    <row r="91" spans="1:8" s="10" customFormat="1" x14ac:dyDescent="0.35">
      <c r="A91" s="9" t="s">
        <v>78</v>
      </c>
      <c r="B91" s="11" t="s">
        <v>79</v>
      </c>
      <c r="C91" s="9"/>
      <c r="D91" s="12"/>
      <c r="E91" s="12"/>
      <c r="F91" s="146"/>
    </row>
    <row r="92" spans="1:8" s="10" customFormat="1" ht="29" x14ac:dyDescent="0.35">
      <c r="A92" s="9"/>
      <c r="B92" s="144" t="s">
        <v>80</v>
      </c>
      <c r="C92" s="143" t="s">
        <v>9</v>
      </c>
      <c r="D92" s="147">
        <v>300</v>
      </c>
      <c r="E92" s="145">
        <v>160</v>
      </c>
      <c r="F92" s="147">
        <f>D92*E92</f>
        <v>48000</v>
      </c>
    </row>
    <row r="93" spans="1:8" s="10" customFormat="1" x14ac:dyDescent="0.35">
      <c r="A93" s="9"/>
      <c r="B93" s="13" t="s">
        <v>16</v>
      </c>
      <c r="C93" s="13"/>
      <c r="D93" s="15"/>
      <c r="E93" s="15"/>
      <c r="F93" s="15">
        <f>SUM(F92)</f>
        <v>48000</v>
      </c>
    </row>
    <row r="94" spans="1:8" s="10" customFormat="1" x14ac:dyDescent="0.35">
      <c r="A94" s="9"/>
      <c r="B94" s="186" t="s">
        <v>101</v>
      </c>
      <c r="C94" s="13"/>
      <c r="D94" s="15"/>
      <c r="E94" s="15"/>
      <c r="F94" s="15">
        <f>F93*0.1</f>
        <v>4800</v>
      </c>
    </row>
    <row r="95" spans="1:8" s="10" customFormat="1" x14ac:dyDescent="0.35">
      <c r="A95" s="9"/>
      <c r="B95" s="11" t="s">
        <v>17</v>
      </c>
      <c r="C95" s="9"/>
      <c r="D95" s="12"/>
      <c r="E95" s="12"/>
      <c r="F95" s="12">
        <f>SUM(F93:F94)</f>
        <v>52800</v>
      </c>
    </row>
    <row r="96" spans="1:8" x14ac:dyDescent="0.35">
      <c r="B96" s="200" t="s">
        <v>142</v>
      </c>
      <c r="F96" s="19">
        <f>F20+F29+F48+F58+F83+F60+F75+F88+F95</f>
        <v>2964882.5</v>
      </c>
    </row>
    <row r="99" spans="1:7" x14ac:dyDescent="0.35">
      <c r="A99" s="10" t="s">
        <v>144</v>
      </c>
    </row>
    <row r="100" spans="1:7" ht="29" x14ac:dyDescent="0.35">
      <c r="A100" s="175" t="s">
        <v>22</v>
      </c>
      <c r="B100" s="194" t="s">
        <v>111</v>
      </c>
      <c r="C100" s="173"/>
      <c r="D100" s="174"/>
      <c r="E100" s="174"/>
      <c r="F100" s="193"/>
    </row>
    <row r="101" spans="1:7" x14ac:dyDescent="0.35">
      <c r="A101" s="175"/>
      <c r="B101" s="194" t="s">
        <v>112</v>
      </c>
      <c r="C101" s="195" t="s">
        <v>10</v>
      </c>
      <c r="D101" s="174">
        <v>1</v>
      </c>
      <c r="E101" s="174">
        <v>10000</v>
      </c>
      <c r="F101" s="201">
        <f t="shared" ref="F101:F102" si="8">D101*E101</f>
        <v>10000</v>
      </c>
      <c r="G101" s="177"/>
    </row>
    <row r="102" spans="1:7" x14ac:dyDescent="0.35">
      <c r="A102" s="192"/>
      <c r="B102" s="194" t="s">
        <v>77</v>
      </c>
      <c r="C102" s="195" t="s">
        <v>10</v>
      </c>
      <c r="D102" s="174">
        <v>1</v>
      </c>
      <c r="E102" s="174">
        <v>15000</v>
      </c>
      <c r="F102" s="201">
        <f t="shared" si="8"/>
        <v>15000</v>
      </c>
    </row>
    <row r="103" spans="1:7" s="10" customFormat="1" x14ac:dyDescent="0.35">
      <c r="A103" s="175"/>
      <c r="B103" s="194" t="s">
        <v>17</v>
      </c>
      <c r="C103" s="175"/>
      <c r="D103" s="193"/>
      <c r="E103" s="193"/>
      <c r="F103" s="193">
        <f>SUM(F101:F102)</f>
        <v>25000</v>
      </c>
    </row>
    <row r="104" spans="1:7" x14ac:dyDescent="0.35">
      <c r="A104" s="175" t="s">
        <v>114</v>
      </c>
      <c r="B104" s="196" t="s">
        <v>115</v>
      </c>
      <c r="C104" s="196" t="s">
        <v>10</v>
      </c>
      <c r="D104" s="196">
        <v>1</v>
      </c>
      <c r="E104" s="201">
        <v>10000</v>
      </c>
      <c r="F104" s="193">
        <f t="shared" ref="F104" si="9">D104*E104</f>
        <v>10000</v>
      </c>
    </row>
    <row r="106" spans="1:7" x14ac:dyDescent="0.35">
      <c r="B106" s="200" t="s">
        <v>116</v>
      </c>
      <c r="C106" s="10"/>
      <c r="D106" s="10"/>
      <c r="E106" s="10"/>
      <c r="F106" s="19">
        <f>F103+F104</f>
        <v>35000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128A0-E93A-4462-AB83-7C43405C0CB2}">
  <dimension ref="A1:J95"/>
  <sheetViews>
    <sheetView workbookViewId="0">
      <selection activeCell="I107" sqref="I107"/>
    </sheetView>
  </sheetViews>
  <sheetFormatPr defaultColWidth="8.7265625" defaultRowHeight="14.5" x14ac:dyDescent="0.35"/>
  <cols>
    <col min="1" max="1" width="14.453125" style="10" customWidth="1"/>
    <col min="2" max="2" width="56.1796875" style="14" customWidth="1"/>
    <col min="3" max="3" width="8.1796875" style="14" customWidth="1"/>
    <col min="4" max="5" width="8.7265625" style="14"/>
    <col min="6" max="6" width="11.81640625" style="14" customWidth="1"/>
    <col min="7" max="9" width="8.7265625" style="14"/>
    <col min="10" max="10" width="0" style="14" hidden="1" customWidth="1"/>
    <col min="11" max="16384" width="8.7265625" style="14"/>
  </cols>
  <sheetData>
    <row r="1" spans="1:7" x14ac:dyDescent="0.35">
      <c r="A1" s="10" t="s">
        <v>141</v>
      </c>
    </row>
    <row r="3" spans="1:7" s="10" customFormat="1" x14ac:dyDescent="0.35">
      <c r="A3" s="9"/>
      <c r="B3" s="97" t="s">
        <v>31</v>
      </c>
      <c r="C3" s="9" t="s">
        <v>11</v>
      </c>
      <c r="D3" s="9" t="s">
        <v>6</v>
      </c>
      <c r="E3" s="9" t="s">
        <v>7</v>
      </c>
      <c r="F3" s="9" t="s">
        <v>14</v>
      </c>
    </row>
    <row r="4" spans="1:7" s="10" customFormat="1" x14ac:dyDescent="0.35">
      <c r="A4" s="9" t="s">
        <v>26</v>
      </c>
      <c r="B4" s="97" t="s">
        <v>50</v>
      </c>
      <c r="C4" s="9"/>
      <c r="D4" s="9"/>
      <c r="E4" s="9"/>
      <c r="F4" s="9"/>
    </row>
    <row r="5" spans="1:7" s="10" customFormat="1" x14ac:dyDescent="0.35">
      <c r="A5" s="9"/>
      <c r="B5" s="100" t="s">
        <v>68</v>
      </c>
      <c r="C5" s="102" t="s">
        <v>9</v>
      </c>
      <c r="D5" s="99">
        <v>330</v>
      </c>
      <c r="E5" s="99">
        <v>100</v>
      </c>
      <c r="F5" s="99">
        <f>D5*E5</f>
        <v>33000</v>
      </c>
    </row>
    <row r="6" spans="1:7" s="10" customFormat="1" ht="29" x14ac:dyDescent="0.35">
      <c r="A6" s="9"/>
      <c r="B6" s="38" t="s">
        <v>83</v>
      </c>
      <c r="C6" s="102" t="s">
        <v>9</v>
      </c>
      <c r="D6" s="99">
        <v>775</v>
      </c>
      <c r="E6" s="99">
        <v>130</v>
      </c>
      <c r="F6" s="99">
        <f>D6*E6</f>
        <v>100750</v>
      </c>
    </row>
    <row r="7" spans="1:7" s="10" customFormat="1" x14ac:dyDescent="0.35">
      <c r="A7" s="9"/>
      <c r="B7" s="100" t="s">
        <v>16</v>
      </c>
      <c r="C7" s="9"/>
      <c r="D7" s="12"/>
      <c r="E7" s="12"/>
      <c r="F7" s="99">
        <f>SUM(F5:F6)</f>
        <v>133750</v>
      </c>
    </row>
    <row r="8" spans="1:7" s="10" customFormat="1" x14ac:dyDescent="0.35">
      <c r="A8" s="9"/>
      <c r="B8" s="76" t="s">
        <v>34</v>
      </c>
      <c r="C8" s="9"/>
      <c r="D8" s="12"/>
      <c r="E8" s="12"/>
      <c r="F8" s="99">
        <f>F7*0.15</f>
        <v>20062.5</v>
      </c>
    </row>
    <row r="9" spans="1:7" s="10" customFormat="1" x14ac:dyDescent="0.35">
      <c r="A9" s="9"/>
      <c r="B9" s="9" t="s">
        <v>17</v>
      </c>
      <c r="C9" s="9"/>
      <c r="D9" s="12"/>
      <c r="E9" s="12"/>
      <c r="F9" s="12">
        <f>SUM(F7:F8)</f>
        <v>153812.5</v>
      </c>
    </row>
    <row r="10" spans="1:7" s="10" customFormat="1" x14ac:dyDescent="0.35">
      <c r="A10" s="9"/>
      <c r="B10" s="98"/>
      <c r="C10" s="9"/>
      <c r="D10" s="9"/>
      <c r="E10" s="9"/>
      <c r="F10" s="9"/>
    </row>
    <row r="11" spans="1:7" x14ac:dyDescent="0.35">
      <c r="A11" s="9" t="s">
        <v>26</v>
      </c>
      <c r="B11" s="9" t="s">
        <v>69</v>
      </c>
      <c r="C11" s="9"/>
      <c r="D11" s="9"/>
      <c r="E11" s="9"/>
      <c r="F11" s="9"/>
      <c r="G11" s="16"/>
    </row>
    <row r="12" spans="1:7" s="35" customFormat="1" x14ac:dyDescent="0.35">
      <c r="A12" s="10"/>
      <c r="B12" s="113" t="s">
        <v>32</v>
      </c>
      <c r="C12" s="103" t="s">
        <v>9</v>
      </c>
      <c r="D12" s="75">
        <v>415</v>
      </c>
      <c r="E12" s="75">
        <v>100</v>
      </c>
      <c r="F12" s="75">
        <f>D12*E12</f>
        <v>41500</v>
      </c>
      <c r="G12" s="34"/>
    </row>
    <row r="13" spans="1:7" x14ac:dyDescent="0.35">
      <c r="A13" s="9"/>
      <c r="B13" s="122" t="s">
        <v>53</v>
      </c>
      <c r="C13" s="103" t="s">
        <v>9</v>
      </c>
      <c r="D13" s="76">
        <v>415</v>
      </c>
      <c r="E13" s="76">
        <v>130</v>
      </c>
      <c r="F13" s="75">
        <f>D13*E13</f>
        <v>53950</v>
      </c>
      <c r="G13" s="16"/>
    </row>
    <row r="14" spans="1:7" x14ac:dyDescent="0.35">
      <c r="A14" s="9"/>
      <c r="B14" s="76" t="s">
        <v>16</v>
      </c>
      <c r="C14" s="76"/>
      <c r="D14" s="76"/>
      <c r="E14" s="76"/>
      <c r="F14" s="78">
        <f>SUM(F12:F13)</f>
        <v>95450</v>
      </c>
    </row>
    <row r="15" spans="1:7" x14ac:dyDescent="0.35">
      <c r="A15" s="9"/>
      <c r="B15" s="76" t="s">
        <v>34</v>
      </c>
      <c r="C15" s="76"/>
      <c r="D15" s="76"/>
      <c r="E15" s="76"/>
      <c r="F15" s="78">
        <f>F14*0.15</f>
        <v>14317.5</v>
      </c>
    </row>
    <row r="16" spans="1:7" x14ac:dyDescent="0.35">
      <c r="A16" s="9"/>
      <c r="B16" s="9" t="s">
        <v>17</v>
      </c>
      <c r="C16" s="9"/>
      <c r="D16" s="9"/>
      <c r="E16" s="9"/>
      <c r="F16" s="12">
        <f>SUM(F14:F15)</f>
        <v>109767.5</v>
      </c>
    </row>
    <row r="17" spans="1:6" x14ac:dyDescent="0.35">
      <c r="B17" s="18"/>
      <c r="C17" s="28"/>
      <c r="D17" s="17"/>
      <c r="E17" s="17"/>
      <c r="F17" s="17"/>
    </row>
    <row r="18" spans="1:6" s="10" customFormat="1" x14ac:dyDescent="0.35">
      <c r="A18" s="9" t="s">
        <v>27</v>
      </c>
      <c r="B18" s="11" t="s">
        <v>51</v>
      </c>
      <c r="C18" s="27"/>
      <c r="D18" s="15"/>
      <c r="E18" s="15"/>
      <c r="F18" s="15"/>
    </row>
    <row r="19" spans="1:6" x14ac:dyDescent="0.35">
      <c r="A19" s="13"/>
      <c r="B19" s="113" t="s">
        <v>39</v>
      </c>
      <c r="C19" s="27" t="s">
        <v>9</v>
      </c>
      <c r="D19" s="15">
        <v>195</v>
      </c>
      <c r="E19" s="15">
        <v>150</v>
      </c>
      <c r="F19" s="15">
        <f>D19*E19</f>
        <v>29250</v>
      </c>
    </row>
    <row r="20" spans="1:6" x14ac:dyDescent="0.35">
      <c r="A20" s="9"/>
      <c r="B20" s="73" t="s">
        <v>16</v>
      </c>
      <c r="C20" s="74"/>
      <c r="D20" s="15"/>
      <c r="E20" s="15"/>
      <c r="F20" s="75">
        <f>SUM(F19:F19)</f>
        <v>29250</v>
      </c>
    </row>
    <row r="21" spans="1:6" x14ac:dyDescent="0.35">
      <c r="A21" s="9"/>
      <c r="B21" s="76" t="s">
        <v>34</v>
      </c>
      <c r="C21" s="74"/>
      <c r="D21" s="15"/>
      <c r="E21" s="15"/>
      <c r="F21" s="15">
        <f>F20*0.15</f>
        <v>4387.5</v>
      </c>
    </row>
    <row r="22" spans="1:6" x14ac:dyDescent="0.35">
      <c r="A22" s="9"/>
      <c r="B22" s="11" t="s">
        <v>17</v>
      </c>
      <c r="C22" s="43"/>
      <c r="D22" s="12"/>
      <c r="E22" s="12"/>
      <c r="F22" s="12">
        <f>SUM(F20:F21)</f>
        <v>33637.5</v>
      </c>
    </row>
    <row r="23" spans="1:6" x14ac:dyDescent="0.35">
      <c r="B23" s="89"/>
      <c r="C23" s="114"/>
      <c r="D23" s="19"/>
      <c r="E23" s="19"/>
      <c r="F23" s="19"/>
    </row>
    <row r="24" spans="1:6" ht="29" x14ac:dyDescent="0.35">
      <c r="A24" s="9" t="s">
        <v>27</v>
      </c>
      <c r="B24" s="39" t="s">
        <v>70</v>
      </c>
      <c r="C24" s="135" t="s">
        <v>67</v>
      </c>
      <c r="D24" s="136">
        <v>6</v>
      </c>
      <c r="E24" s="136">
        <v>30000</v>
      </c>
      <c r="F24" s="136">
        <f>D24*E24</f>
        <v>180000</v>
      </c>
    </row>
    <row r="25" spans="1:6" x14ac:dyDescent="0.35">
      <c r="A25" s="9"/>
      <c r="B25" s="39"/>
      <c r="C25" s="135"/>
      <c r="D25" s="136"/>
      <c r="E25" s="136"/>
      <c r="F25" s="136"/>
    </row>
    <row r="26" spans="1:6" x14ac:dyDescent="0.35">
      <c r="A26" s="9" t="s">
        <v>27</v>
      </c>
      <c r="B26" s="11" t="s">
        <v>151</v>
      </c>
      <c r="C26" s="43"/>
      <c r="D26" s="12"/>
      <c r="E26" s="12"/>
      <c r="F26" s="12"/>
    </row>
    <row r="27" spans="1:6" x14ac:dyDescent="0.35">
      <c r="A27" s="9"/>
      <c r="B27" s="233" t="s">
        <v>152</v>
      </c>
      <c r="C27" s="234" t="s">
        <v>10</v>
      </c>
      <c r="D27" s="235">
        <v>1</v>
      </c>
      <c r="E27" s="235">
        <v>40000</v>
      </c>
      <c r="F27" s="235">
        <f>D27*E27</f>
        <v>40000</v>
      </c>
    </row>
    <row r="28" spans="1:6" x14ac:dyDescent="0.35">
      <c r="A28" s="9"/>
      <c r="B28" s="233" t="s">
        <v>153</v>
      </c>
      <c r="C28" s="234" t="s">
        <v>10</v>
      </c>
      <c r="D28" s="235">
        <v>1</v>
      </c>
      <c r="E28" s="235">
        <v>30000</v>
      </c>
      <c r="F28" s="235">
        <f t="shared" ref="F28:F29" si="0">D28*E28</f>
        <v>30000</v>
      </c>
    </row>
    <row r="29" spans="1:6" x14ac:dyDescent="0.35">
      <c r="A29" s="9"/>
      <c r="B29" s="233" t="s">
        <v>154</v>
      </c>
      <c r="C29" s="234" t="s">
        <v>10</v>
      </c>
      <c r="D29" s="235">
        <v>1</v>
      </c>
      <c r="E29" s="235">
        <v>20000</v>
      </c>
      <c r="F29" s="235">
        <f t="shared" si="0"/>
        <v>20000</v>
      </c>
    </row>
    <row r="30" spans="1:6" x14ac:dyDescent="0.35">
      <c r="A30" s="9"/>
      <c r="B30" s="233" t="s">
        <v>16</v>
      </c>
      <c r="C30" s="234"/>
      <c r="D30" s="235"/>
      <c r="E30" s="235"/>
      <c r="F30" s="235">
        <f>SUM(F27:F29)</f>
        <v>90000</v>
      </c>
    </row>
    <row r="31" spans="1:6" x14ac:dyDescent="0.35">
      <c r="A31" s="9"/>
      <c r="B31" s="236" t="s">
        <v>101</v>
      </c>
      <c r="C31" s="234"/>
      <c r="D31" s="235"/>
      <c r="E31" s="235"/>
      <c r="F31" s="235">
        <f>F30*0.1</f>
        <v>9000</v>
      </c>
    </row>
    <row r="32" spans="1:6" x14ac:dyDescent="0.35">
      <c r="A32" s="9"/>
      <c r="B32" s="11" t="s">
        <v>17</v>
      </c>
      <c r="C32" s="43"/>
      <c r="D32" s="12"/>
      <c r="E32" s="12"/>
      <c r="F32" s="12">
        <f>SUM(F30:F31)</f>
        <v>99000</v>
      </c>
    </row>
    <row r="33" spans="1:8" x14ac:dyDescent="0.35">
      <c r="A33" s="9"/>
      <c r="B33" s="11"/>
      <c r="C33" s="43"/>
      <c r="D33" s="12"/>
      <c r="E33" s="12"/>
      <c r="F33" s="12"/>
    </row>
    <row r="34" spans="1:8" x14ac:dyDescent="0.35">
      <c r="A34" s="9" t="s">
        <v>28</v>
      </c>
      <c r="B34" s="11" t="s">
        <v>62</v>
      </c>
      <c r="C34" s="27"/>
      <c r="D34" s="15"/>
      <c r="E34" s="15"/>
      <c r="F34" s="12"/>
    </row>
    <row r="35" spans="1:8" x14ac:dyDescent="0.35">
      <c r="A35" s="9"/>
      <c r="B35" s="113" t="s">
        <v>39</v>
      </c>
      <c r="C35" s="116" t="s">
        <v>9</v>
      </c>
      <c r="D35" s="15">
        <v>185</v>
      </c>
      <c r="E35" s="15">
        <v>100</v>
      </c>
      <c r="F35" s="75">
        <f t="shared" ref="F35:F36" si="1">D35*E35</f>
        <v>18500</v>
      </c>
    </row>
    <row r="36" spans="1:8" x14ac:dyDescent="0.35">
      <c r="A36" s="9"/>
      <c r="B36" s="73" t="s">
        <v>40</v>
      </c>
      <c r="C36" s="74" t="s">
        <v>9</v>
      </c>
      <c r="D36" s="15">
        <v>1225</v>
      </c>
      <c r="E36" s="15">
        <v>140</v>
      </c>
      <c r="F36" s="75">
        <f t="shared" si="1"/>
        <v>171500</v>
      </c>
    </row>
    <row r="37" spans="1:8" s="10" customFormat="1" x14ac:dyDescent="0.35">
      <c r="A37" s="9"/>
      <c r="B37" s="73" t="s">
        <v>16</v>
      </c>
      <c r="C37" s="81"/>
      <c r="D37" s="37"/>
      <c r="E37" s="37"/>
      <c r="F37" s="75">
        <f>SUM(F35:F36)</f>
        <v>190000</v>
      </c>
    </row>
    <row r="38" spans="1:8" s="10" customFormat="1" x14ac:dyDescent="0.35">
      <c r="A38" s="9"/>
      <c r="B38" s="76" t="s">
        <v>34</v>
      </c>
      <c r="C38" s="81"/>
      <c r="D38" s="37"/>
      <c r="E38" s="37"/>
      <c r="F38" s="75">
        <f>F37*0.15</f>
        <v>28500</v>
      </c>
      <c r="G38" s="19"/>
    </row>
    <row r="39" spans="1:8" x14ac:dyDescent="0.35">
      <c r="A39" s="9"/>
      <c r="B39" s="11" t="s">
        <v>17</v>
      </c>
      <c r="C39" s="64"/>
      <c r="D39" s="37"/>
      <c r="E39" s="37"/>
      <c r="F39" s="65">
        <f>SUM(F37:F38)</f>
        <v>218500</v>
      </c>
    </row>
    <row r="40" spans="1:8" x14ac:dyDescent="0.35">
      <c r="B40" s="18"/>
      <c r="D40" s="17"/>
      <c r="E40" s="17"/>
      <c r="F40" s="17"/>
      <c r="G40" s="17"/>
    </row>
    <row r="41" spans="1:8" x14ac:dyDescent="0.35">
      <c r="A41" s="9" t="s">
        <v>28</v>
      </c>
      <c r="B41" s="39" t="s">
        <v>84</v>
      </c>
      <c r="C41" s="13"/>
      <c r="D41" s="15"/>
      <c r="E41" s="15"/>
      <c r="F41" s="15"/>
      <c r="G41" s="17"/>
    </row>
    <row r="42" spans="1:8" x14ac:dyDescent="0.35">
      <c r="A42" s="9"/>
      <c r="B42" s="38" t="s">
        <v>85</v>
      </c>
      <c r="C42" s="60" t="s">
        <v>9</v>
      </c>
      <c r="D42" s="15">
        <v>1030</v>
      </c>
      <c r="E42" s="15">
        <v>100</v>
      </c>
      <c r="F42" s="15">
        <f t="shared" ref="F42:F45" si="2">D42*E42</f>
        <v>103000</v>
      </c>
    </row>
    <row r="43" spans="1:8" ht="29" x14ac:dyDescent="0.35">
      <c r="A43" s="9"/>
      <c r="B43" s="38" t="s">
        <v>86</v>
      </c>
      <c r="C43" s="60" t="s">
        <v>9</v>
      </c>
      <c r="D43" s="13">
        <v>770</v>
      </c>
      <c r="E43" s="13">
        <v>130</v>
      </c>
      <c r="F43" s="15">
        <f t="shared" si="2"/>
        <v>100100</v>
      </c>
      <c r="G43" s="29"/>
      <c r="H43" s="31"/>
    </row>
    <row r="44" spans="1:8" ht="29" x14ac:dyDescent="0.35">
      <c r="A44" s="9"/>
      <c r="B44" s="38" t="s">
        <v>87</v>
      </c>
      <c r="C44" s="60" t="s">
        <v>9</v>
      </c>
      <c r="D44" s="15">
        <v>675</v>
      </c>
      <c r="E44" s="15">
        <v>90</v>
      </c>
      <c r="F44" s="15">
        <f t="shared" si="2"/>
        <v>60750</v>
      </c>
      <c r="G44" s="31"/>
    </row>
    <row r="45" spans="1:8" x14ac:dyDescent="0.35">
      <c r="B45" s="38" t="s">
        <v>88</v>
      </c>
      <c r="C45" s="76" t="s">
        <v>10</v>
      </c>
      <c r="D45" s="15">
        <v>2</v>
      </c>
      <c r="E45" s="15">
        <v>30000</v>
      </c>
      <c r="F45" s="15">
        <f t="shared" si="2"/>
        <v>60000</v>
      </c>
    </row>
    <row r="46" spans="1:8" x14ac:dyDescent="0.35">
      <c r="A46" s="9"/>
      <c r="B46" s="38" t="s">
        <v>16</v>
      </c>
      <c r="C46" s="13"/>
      <c r="D46" s="15"/>
      <c r="E46" s="15"/>
      <c r="F46" s="15">
        <f>SUM(F41:F45)</f>
        <v>323850</v>
      </c>
    </row>
    <row r="47" spans="1:8" x14ac:dyDescent="0.35">
      <c r="A47" s="9"/>
      <c r="B47" s="76" t="s">
        <v>34</v>
      </c>
      <c r="C47" s="13"/>
      <c r="D47" s="15"/>
      <c r="E47" s="15"/>
      <c r="F47" s="15">
        <f>F46*0.15</f>
        <v>48577.5</v>
      </c>
    </row>
    <row r="48" spans="1:8" x14ac:dyDescent="0.35">
      <c r="A48" s="9"/>
      <c r="B48" s="39" t="s">
        <v>17</v>
      </c>
      <c r="C48" s="9"/>
      <c r="D48" s="12"/>
      <c r="E48" s="12"/>
      <c r="F48" s="65">
        <f>SUM(F46:F47)</f>
        <v>372427.5</v>
      </c>
    </row>
    <row r="49" spans="1:7" x14ac:dyDescent="0.35">
      <c r="D49" s="17"/>
      <c r="E49" s="17"/>
      <c r="F49" s="17"/>
    </row>
    <row r="50" spans="1:7" x14ac:dyDescent="0.35">
      <c r="A50" s="9" t="s">
        <v>29</v>
      </c>
      <c r="B50" s="9" t="s">
        <v>65</v>
      </c>
      <c r="C50" s="13"/>
      <c r="D50" s="15"/>
      <c r="E50" s="15"/>
      <c r="F50" s="15"/>
    </row>
    <row r="51" spans="1:7" x14ac:dyDescent="0.35">
      <c r="A51" s="9"/>
      <c r="B51" s="21" t="s">
        <v>12</v>
      </c>
      <c r="C51" s="21" t="s">
        <v>9</v>
      </c>
      <c r="D51" s="22">
        <v>2180</v>
      </c>
      <c r="E51" s="15">
        <v>140</v>
      </c>
      <c r="F51" s="15">
        <f t="shared" ref="F51:F54" si="3">D51*E51</f>
        <v>305200</v>
      </c>
      <c r="G51" s="31"/>
    </row>
    <row r="52" spans="1:7" x14ac:dyDescent="0.35">
      <c r="A52" s="9"/>
      <c r="B52" s="118" t="s">
        <v>66</v>
      </c>
      <c r="C52" s="118" t="s">
        <v>9</v>
      </c>
      <c r="D52" s="22">
        <v>275</v>
      </c>
      <c r="E52" s="15">
        <v>140</v>
      </c>
      <c r="F52" s="15">
        <f t="shared" si="3"/>
        <v>38500</v>
      </c>
      <c r="G52" s="31"/>
    </row>
    <row r="53" spans="1:7" x14ac:dyDescent="0.35">
      <c r="A53" s="9"/>
      <c r="B53" s="118" t="s">
        <v>33</v>
      </c>
      <c r="C53" s="118" t="s">
        <v>9</v>
      </c>
      <c r="D53" s="22">
        <v>165</v>
      </c>
      <c r="E53" s="15">
        <v>100</v>
      </c>
      <c r="F53" s="15">
        <f t="shared" si="3"/>
        <v>16500</v>
      </c>
      <c r="G53" s="31"/>
    </row>
    <row r="54" spans="1:7" x14ac:dyDescent="0.35">
      <c r="A54" s="9"/>
      <c r="B54" s="118" t="s">
        <v>8</v>
      </c>
      <c r="C54" s="118" t="s">
        <v>10</v>
      </c>
      <c r="D54" s="22">
        <v>1</v>
      </c>
      <c r="E54" s="15">
        <v>30000</v>
      </c>
      <c r="F54" s="15">
        <f t="shared" si="3"/>
        <v>30000</v>
      </c>
      <c r="G54" s="31"/>
    </row>
    <row r="55" spans="1:7" x14ac:dyDescent="0.35">
      <c r="A55" s="9"/>
      <c r="B55" s="41" t="s">
        <v>16</v>
      </c>
      <c r="C55" s="33"/>
      <c r="D55" s="42"/>
      <c r="E55" s="40"/>
      <c r="F55" s="40">
        <f>SUM(F51:F54)</f>
        <v>390200</v>
      </c>
    </row>
    <row r="56" spans="1:7" x14ac:dyDescent="0.35">
      <c r="A56" s="9"/>
      <c r="B56" s="76" t="s">
        <v>34</v>
      </c>
      <c r="C56" s="33"/>
      <c r="D56" s="42"/>
      <c r="E56" s="40"/>
      <c r="F56" s="40">
        <f>F55*0.15</f>
        <v>58530</v>
      </c>
    </row>
    <row r="57" spans="1:7" x14ac:dyDescent="0.35">
      <c r="A57" s="9"/>
      <c r="B57" s="23" t="s">
        <v>17</v>
      </c>
      <c r="C57" s="24"/>
      <c r="D57" s="25"/>
      <c r="E57" s="12"/>
      <c r="F57" s="12">
        <f>SUM(F55:F56)</f>
        <v>448730</v>
      </c>
    </row>
    <row r="58" spans="1:7" x14ac:dyDescent="0.35">
      <c r="B58" s="107"/>
      <c r="C58" s="108"/>
      <c r="D58" s="109"/>
      <c r="E58" s="19"/>
      <c r="F58" s="19"/>
    </row>
    <row r="59" spans="1:7" x14ac:dyDescent="0.35">
      <c r="A59" s="9" t="s">
        <v>54</v>
      </c>
      <c r="B59" s="23" t="s">
        <v>55</v>
      </c>
      <c r="C59" s="24"/>
      <c r="D59" s="25"/>
      <c r="E59" s="12"/>
      <c r="F59" s="12"/>
    </row>
    <row r="60" spans="1:7" x14ac:dyDescent="0.35">
      <c r="A60" s="9"/>
      <c r="B60" s="119" t="s">
        <v>33</v>
      </c>
      <c r="C60" s="110" t="s">
        <v>9</v>
      </c>
      <c r="D60" s="111">
        <v>4400</v>
      </c>
      <c r="E60" s="112">
        <v>100</v>
      </c>
      <c r="F60" s="112">
        <f>D60*E60</f>
        <v>440000</v>
      </c>
      <c r="G60" s="106"/>
    </row>
    <row r="61" spans="1:7" x14ac:dyDescent="0.35">
      <c r="A61" s="9"/>
      <c r="B61" s="117" t="s">
        <v>63</v>
      </c>
      <c r="C61" s="110" t="s">
        <v>10</v>
      </c>
      <c r="D61" s="111">
        <v>1</v>
      </c>
      <c r="E61" s="112">
        <v>35000</v>
      </c>
      <c r="F61" s="112">
        <f>D61*E61</f>
        <v>35000</v>
      </c>
    </row>
    <row r="62" spans="1:7" x14ac:dyDescent="0.35">
      <c r="A62" s="9"/>
      <c r="B62" s="117" t="s">
        <v>64</v>
      </c>
      <c r="C62" s="118" t="s">
        <v>10</v>
      </c>
      <c r="D62" s="111">
        <v>1</v>
      </c>
      <c r="E62" s="112">
        <v>10000</v>
      </c>
      <c r="F62" s="112">
        <f>D62*E62</f>
        <v>10000</v>
      </c>
    </row>
    <row r="63" spans="1:7" x14ac:dyDescent="0.35">
      <c r="A63" s="9"/>
      <c r="B63" s="41" t="s">
        <v>16</v>
      </c>
      <c r="C63" s="33"/>
      <c r="D63" s="42"/>
      <c r="E63" s="40"/>
      <c r="F63" s="40">
        <f>SUM(F60:F62)</f>
        <v>485000</v>
      </c>
    </row>
    <row r="64" spans="1:7" x14ac:dyDescent="0.35">
      <c r="A64" s="9"/>
      <c r="B64" s="76" t="s">
        <v>34</v>
      </c>
      <c r="C64" s="33"/>
      <c r="D64" s="42"/>
      <c r="E64" s="40"/>
      <c r="F64" s="40">
        <f>F63*0.15</f>
        <v>72750</v>
      </c>
    </row>
    <row r="65" spans="1:10" x14ac:dyDescent="0.35">
      <c r="A65" s="9"/>
      <c r="B65" s="23" t="s">
        <v>17</v>
      </c>
      <c r="C65" s="24"/>
      <c r="D65" s="25"/>
      <c r="E65" s="12"/>
      <c r="F65" s="12">
        <f>SUM(F63:F64)</f>
        <v>557750</v>
      </c>
    </row>
    <row r="66" spans="1:10" x14ac:dyDescent="0.35">
      <c r="B66" s="107"/>
      <c r="C66" s="108"/>
      <c r="D66" s="109"/>
      <c r="E66" s="19"/>
      <c r="F66" s="19"/>
    </row>
    <row r="67" spans="1:10" s="10" customFormat="1" x14ac:dyDescent="0.35">
      <c r="A67" s="9" t="s">
        <v>30</v>
      </c>
      <c r="B67" s="23" t="s">
        <v>56</v>
      </c>
      <c r="C67" s="13"/>
      <c r="D67" s="15"/>
      <c r="E67" s="15"/>
      <c r="F67" s="15"/>
    </row>
    <row r="68" spans="1:10" s="10" customFormat="1" x14ac:dyDescent="0.35">
      <c r="A68" s="9"/>
      <c r="B68" s="104" t="s">
        <v>52</v>
      </c>
      <c r="C68" s="101" t="s">
        <v>10</v>
      </c>
      <c r="D68" s="15">
        <v>1</v>
      </c>
      <c r="E68" s="15">
        <v>5000</v>
      </c>
      <c r="F68" s="15">
        <f t="shared" ref="F68:F70" si="4">D68*E68</f>
        <v>5000</v>
      </c>
    </row>
    <row r="69" spans="1:10" s="10" customFormat="1" x14ac:dyDescent="0.35">
      <c r="A69" s="9"/>
      <c r="B69" s="104" t="s">
        <v>5</v>
      </c>
      <c r="C69" s="101" t="s">
        <v>9</v>
      </c>
      <c r="D69" s="15">
        <v>190</v>
      </c>
      <c r="E69" s="15">
        <v>100</v>
      </c>
      <c r="F69" s="15">
        <f t="shared" si="4"/>
        <v>19000</v>
      </c>
      <c r="G69" s="106"/>
      <c r="I69" s="30"/>
      <c r="J69" s="14"/>
    </row>
    <row r="70" spans="1:10" x14ac:dyDescent="0.35">
      <c r="A70" s="9"/>
      <c r="B70" s="21" t="s">
        <v>12</v>
      </c>
      <c r="C70" s="21" t="s">
        <v>9</v>
      </c>
      <c r="D70" s="22">
        <v>290</v>
      </c>
      <c r="E70" s="15">
        <v>130</v>
      </c>
      <c r="F70" s="15">
        <f t="shared" si="4"/>
        <v>37700</v>
      </c>
      <c r="G70" s="106"/>
      <c r="H70" s="31"/>
    </row>
    <row r="71" spans="1:10" x14ac:dyDescent="0.35">
      <c r="A71" s="13"/>
      <c r="B71" s="13" t="s">
        <v>16</v>
      </c>
      <c r="C71" s="13"/>
      <c r="D71" s="15"/>
      <c r="E71" s="15"/>
      <c r="F71" s="15">
        <f>SUM(F68:F70)</f>
        <v>61700</v>
      </c>
      <c r="G71" s="29"/>
      <c r="H71" s="31"/>
      <c r="I71" s="29"/>
      <c r="J71" s="31"/>
    </row>
    <row r="72" spans="1:10" x14ac:dyDescent="0.35">
      <c r="A72" s="13"/>
      <c r="B72" s="76" t="s">
        <v>34</v>
      </c>
      <c r="C72" s="13"/>
      <c r="D72" s="15"/>
      <c r="E72" s="15"/>
      <c r="F72" s="15">
        <f>F71*0.15</f>
        <v>9255</v>
      </c>
      <c r="I72" s="30"/>
    </row>
    <row r="73" spans="1:10" x14ac:dyDescent="0.35">
      <c r="A73" s="9"/>
      <c r="B73" s="11" t="s">
        <v>17</v>
      </c>
      <c r="C73" s="9"/>
      <c r="D73" s="12"/>
      <c r="E73" s="12"/>
      <c r="F73" s="12">
        <f>SUM(F71:F72)</f>
        <v>70955</v>
      </c>
      <c r="G73" s="29"/>
      <c r="H73" s="31"/>
    </row>
    <row r="74" spans="1:10" x14ac:dyDescent="0.35">
      <c r="B74" s="89"/>
      <c r="C74" s="10"/>
      <c r="D74" s="19"/>
      <c r="E74" s="19"/>
      <c r="F74" s="90"/>
      <c r="G74" s="66"/>
    </row>
    <row r="76" spans="1:10" x14ac:dyDescent="0.35">
      <c r="A76" s="9" t="s">
        <v>57</v>
      </c>
      <c r="B76" s="9" t="s">
        <v>58</v>
      </c>
      <c r="C76" s="9" t="s">
        <v>10</v>
      </c>
      <c r="D76" s="9">
        <v>1</v>
      </c>
      <c r="E76" s="12">
        <v>35000</v>
      </c>
      <c r="F76" s="12">
        <f>D76*E76</f>
        <v>35000</v>
      </c>
    </row>
    <row r="77" spans="1:10" x14ac:dyDescent="0.35">
      <c r="B77" s="10"/>
      <c r="C77" s="10"/>
      <c r="D77" s="10"/>
      <c r="E77" s="10"/>
      <c r="F77" s="10"/>
    </row>
    <row r="78" spans="1:10" x14ac:dyDescent="0.35">
      <c r="A78" s="9" t="s">
        <v>57</v>
      </c>
      <c r="B78" s="9" t="s">
        <v>59</v>
      </c>
      <c r="C78" s="9" t="s">
        <v>10</v>
      </c>
      <c r="D78" s="9">
        <v>1</v>
      </c>
      <c r="E78" s="12">
        <v>200000</v>
      </c>
      <c r="F78" s="12">
        <f>D78*E78</f>
        <v>200000</v>
      </c>
    </row>
    <row r="79" spans="1:10" x14ac:dyDescent="0.35">
      <c r="B79" s="200" t="s">
        <v>143</v>
      </c>
      <c r="F79" s="19">
        <f>F16+F22+F39+F48+F57+F73+F9+F65+F76+F78+F24</f>
        <v>2380580</v>
      </c>
    </row>
    <row r="82" spans="1:9" x14ac:dyDescent="0.35">
      <c r="A82" s="10" t="s">
        <v>60</v>
      </c>
      <c r="C82" s="137"/>
    </row>
    <row r="83" spans="1:9" x14ac:dyDescent="0.35">
      <c r="A83" s="9" t="s">
        <v>27</v>
      </c>
      <c r="B83" s="11" t="s">
        <v>61</v>
      </c>
      <c r="C83" s="43"/>
      <c r="D83" s="12"/>
      <c r="E83" s="12"/>
      <c r="F83" s="12"/>
    </row>
    <row r="84" spans="1:9" s="115" customFormat="1" x14ac:dyDescent="0.35">
      <c r="A84" s="122"/>
      <c r="B84" s="113" t="s">
        <v>32</v>
      </c>
      <c r="C84" s="116" t="s">
        <v>9</v>
      </c>
      <c r="D84" s="134">
        <v>200</v>
      </c>
      <c r="E84" s="134">
        <v>100</v>
      </c>
      <c r="F84" s="134">
        <f>D84*E84</f>
        <v>20000</v>
      </c>
    </row>
    <row r="85" spans="1:9" s="115" customFormat="1" x14ac:dyDescent="0.35">
      <c r="A85" s="122"/>
      <c r="B85" s="113" t="s">
        <v>15</v>
      </c>
      <c r="C85" s="116" t="s">
        <v>9</v>
      </c>
      <c r="D85" s="134">
        <v>200</v>
      </c>
      <c r="E85" s="134">
        <v>130</v>
      </c>
      <c r="F85" s="134">
        <f>D85*E85</f>
        <v>26000</v>
      </c>
    </row>
    <row r="86" spans="1:9" s="115" customFormat="1" x14ac:dyDescent="0.35">
      <c r="A86" s="122"/>
      <c r="B86" s="11" t="s">
        <v>71</v>
      </c>
      <c r="C86" s="116"/>
      <c r="D86" s="134"/>
      <c r="E86" s="134"/>
      <c r="F86" s="12">
        <f>SUM(F84:F85)</f>
        <v>46000</v>
      </c>
    </row>
    <row r="89" spans="1:9" x14ac:dyDescent="0.35">
      <c r="B89" s="188"/>
      <c r="C89" s="188"/>
      <c r="E89" s="17"/>
      <c r="F89" s="17"/>
    </row>
    <row r="90" spans="1:9" x14ac:dyDescent="0.35">
      <c r="B90" s="188"/>
      <c r="C90" s="188"/>
      <c r="E90" s="17"/>
      <c r="F90" s="17"/>
    </row>
    <row r="91" spans="1:9" x14ac:dyDescent="0.35">
      <c r="B91" s="188"/>
      <c r="C91" s="188"/>
      <c r="E91" s="17"/>
      <c r="F91" s="17"/>
    </row>
    <row r="92" spans="1:9" x14ac:dyDescent="0.35">
      <c r="B92" s="188"/>
      <c r="C92" s="188"/>
      <c r="E92" s="17"/>
      <c r="F92" s="17"/>
    </row>
    <row r="93" spans="1:9" x14ac:dyDescent="0.35">
      <c r="B93" s="10"/>
      <c r="C93" s="10"/>
      <c r="D93" s="10"/>
      <c r="E93" s="19"/>
      <c r="F93" s="19"/>
    </row>
    <row r="94" spans="1:9" x14ac:dyDescent="0.35">
      <c r="E94" s="17"/>
      <c r="F94" s="17"/>
      <c r="I94" s="188" t="s">
        <v>119</v>
      </c>
    </row>
    <row r="95" spans="1:9" x14ac:dyDescent="0.35">
      <c r="E95" s="17"/>
      <c r="F95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Investeeringute koond</vt:lpstr>
      <vt:lpstr>AS Paide Vesi - Tööde mahud</vt:lpstr>
      <vt:lpstr>AS Järva Haldus - Tööde mahud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Ülle Altnurme</dc:creator>
  <cp:lastModifiedBy>Ülle Altnurme</cp:lastModifiedBy>
  <cp:lastPrinted>2026-01-22T13:38:41Z</cp:lastPrinted>
  <dcterms:created xsi:type="dcterms:W3CDTF">2019-10-31T14:05:26Z</dcterms:created>
  <dcterms:modified xsi:type="dcterms:W3CDTF">2026-02-10T14:49:31Z</dcterms:modified>
</cp:coreProperties>
</file>